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ctrlProps/ctrlProp1.xml" ContentType="application/vnd.ms-excel.controlproperties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drawings/drawing10.xml" ContentType="application/vnd.openxmlformats-officedocument.drawing+xml"/>
  <Override PartName="/xl/tables/table9.xml" ContentType="application/vnd.openxmlformats-officedocument.spreadsheetml.table+xml"/>
  <Override PartName="/xl/drawings/drawing11.xml" ContentType="application/vnd.openxmlformats-officedocument.drawing+xml"/>
  <Override PartName="/xl/tables/table10.xml" ContentType="application/vnd.openxmlformats-officedocument.spreadsheetml.table+xml"/>
  <Override PartName="/xl/drawings/drawing12.xml" ContentType="application/vnd.openxmlformats-officedocument.drawing+xml"/>
  <Override PartName="/xl/tables/table11.xml" ContentType="application/vnd.openxmlformats-officedocument.spreadsheetml.table+xml"/>
  <Override PartName="/xl/drawings/drawing13.xml" ContentType="application/vnd.openxmlformats-officedocument.drawing+xml"/>
  <Override PartName="/xl/tables/table12.xml" ContentType="application/vnd.openxmlformats-officedocument.spreadsheetml.table+xml"/>
  <Override PartName="/xl/drawings/drawing14.xml" ContentType="application/vnd.openxmlformats-officedocument.drawing+xml"/>
  <Override PartName="/xl/tables/table13.xml" ContentType="application/vnd.openxmlformats-officedocument.spreadsheetml.table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cil\Desktop\Planilhas do site gratis\"/>
    </mc:Choice>
  </mc:AlternateContent>
  <xr:revisionPtr revIDLastSave="0" documentId="13_ncr:1_{41F241C7-226D-4511-ACE5-C1C8E090D1C8}" xr6:coauthVersionLast="47" xr6:coauthVersionMax="47" xr10:uidLastSave="{00000000-0000-0000-0000-000000000000}"/>
  <bookViews>
    <workbookView xWindow="-108" yWindow="-108" windowWidth="23256" windowHeight="12456" tabRatio="833" xr2:uid="{00000000-000D-0000-FFFF-FFFF00000000}"/>
  </bookViews>
  <sheets>
    <sheet name="Como usar este modelo" sheetId="9" r:id="rId1"/>
    <sheet name="Lista de Alunos" sheetId="5" r:id="rId2"/>
    <sheet name="Agosto" sheetId="4" r:id="rId3"/>
    <sheet name="Setembro" sheetId="14" r:id="rId4"/>
    <sheet name="Outubro" sheetId="15" r:id="rId5"/>
    <sheet name="Novembro" sheetId="16" r:id="rId6"/>
    <sheet name="Dezembro" sheetId="17" r:id="rId7"/>
    <sheet name="Janeiro" sheetId="18" r:id="rId8"/>
    <sheet name="Fevereiro" sheetId="8" r:id="rId9"/>
    <sheet name="Março" sheetId="19" r:id="rId10"/>
    <sheet name="Abril" sheetId="20" r:id="rId11"/>
    <sheet name="Maio" sheetId="21" r:id="rId12"/>
    <sheet name="Junho" sheetId="22" r:id="rId13"/>
    <sheet name="Julho" sheetId="23" r:id="rId14"/>
    <sheet name="Relatório de Presença do Aluno" sheetId="6" r:id="rId15"/>
  </sheets>
  <definedNames>
    <definedName name="AnoCalendário">Agosto!$AM$1</definedName>
    <definedName name="Código1">Agosto!$D$3</definedName>
    <definedName name="Código2">Agosto!$H$3</definedName>
    <definedName name="Código3">Agosto!$L$3</definedName>
    <definedName name="Código4">Agosto!$P$3</definedName>
    <definedName name="Código5">Agosto!$T$3</definedName>
    <definedName name="IDAluno">ListadeAlunos[ID do Aluno]</definedName>
    <definedName name="Imprimir_Títulos" localSheetId="1">'Lista de Alunos'!$A:$C,'Lista de Alunos'!$3:$3</definedName>
    <definedName name="NomedoAluno">ListadeAlunos[Nome Completo do Aluno]</definedName>
    <definedName name="PesquisadeAlunos">'Relatório de Presença do Aluno'!$B$4</definedName>
    <definedName name="TextodaChavedeCor">Agosto!$C$3</definedName>
    <definedName name="TextodeCódigo1">Agosto!$E$3</definedName>
    <definedName name="TextodeCódigo2">Agosto!$I$3</definedName>
    <definedName name="TextodeCódigo3">Agosto!$M$3</definedName>
    <definedName name="TextodeCódigo4">Agosto!$Q$3</definedName>
    <definedName name="TextodeCódigo5">Agosto!$U$3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5" i="4" l="1"/>
  <c r="E12" i="4"/>
  <c r="A1" i="6" l="1"/>
  <c r="C11" i="23" l="1"/>
  <c r="C10" i="23"/>
  <c r="C9" i="23"/>
  <c r="C8" i="23"/>
  <c r="C7" i="23"/>
  <c r="C11" i="22"/>
  <c r="C10" i="22"/>
  <c r="C9" i="22"/>
  <c r="C8" i="22"/>
  <c r="C7" i="22"/>
  <c r="C11" i="21"/>
  <c r="C10" i="21"/>
  <c r="C9" i="21"/>
  <c r="C8" i="21"/>
  <c r="C7" i="21"/>
  <c r="C11" i="20"/>
  <c r="C10" i="20"/>
  <c r="C9" i="20"/>
  <c r="C8" i="20"/>
  <c r="C7" i="20"/>
  <c r="C11" i="19"/>
  <c r="C10" i="19"/>
  <c r="C9" i="19"/>
  <c r="C8" i="19"/>
  <c r="C11" i="8"/>
  <c r="C10" i="8"/>
  <c r="C11" i="18"/>
  <c r="C10" i="18"/>
  <c r="C9" i="18"/>
  <c r="C11" i="17"/>
  <c r="C10" i="17"/>
  <c r="C9" i="17"/>
  <c r="C8" i="17"/>
  <c r="C7" i="17"/>
  <c r="C11" i="16"/>
  <c r="C10" i="16"/>
  <c r="C9" i="16"/>
  <c r="C8" i="16"/>
  <c r="C7" i="16"/>
  <c r="C11" i="15"/>
  <c r="C10" i="15"/>
  <c r="C9" i="15"/>
  <c r="C8" i="15"/>
  <c r="C7" i="15"/>
  <c r="C11" i="14"/>
  <c r="C10" i="14"/>
  <c r="C9" i="14"/>
  <c r="C8" i="14"/>
  <c r="C7" i="14"/>
  <c r="AH5" i="23"/>
  <c r="AG5" i="23"/>
  <c r="AF5" i="23"/>
  <c r="AE5" i="23"/>
  <c r="AD5" i="23"/>
  <c r="AC5" i="23"/>
  <c r="AB5" i="23"/>
  <c r="AA5" i="23"/>
  <c r="Z5" i="23"/>
  <c r="Y5" i="23"/>
  <c r="X5" i="23"/>
  <c r="W5" i="23"/>
  <c r="V5" i="23"/>
  <c r="U5" i="23"/>
  <c r="T5" i="23"/>
  <c r="S5" i="23"/>
  <c r="R5" i="23"/>
  <c r="Q5" i="23"/>
  <c r="P5" i="23"/>
  <c r="O5" i="23"/>
  <c r="N5" i="23"/>
  <c r="M5" i="23"/>
  <c r="L5" i="23"/>
  <c r="K5" i="23"/>
  <c r="J5" i="23"/>
  <c r="I5" i="23"/>
  <c r="H5" i="23"/>
  <c r="G5" i="23"/>
  <c r="F5" i="23"/>
  <c r="E5" i="23"/>
  <c r="D5" i="23"/>
  <c r="AG5" i="22"/>
  <c r="AF5" i="22"/>
  <c r="AE5" i="22"/>
  <c r="AD5" i="22"/>
  <c r="AC5" i="22"/>
  <c r="AB5" i="22"/>
  <c r="AA5" i="22"/>
  <c r="Z5" i="22"/>
  <c r="Y5" i="22"/>
  <c r="X5" i="22"/>
  <c r="W5" i="22"/>
  <c r="V5" i="22"/>
  <c r="U5" i="22"/>
  <c r="T5" i="22"/>
  <c r="S5" i="22"/>
  <c r="R5" i="22"/>
  <c r="Q5" i="22"/>
  <c r="P5" i="22"/>
  <c r="O5" i="22"/>
  <c r="N5" i="22"/>
  <c r="M5" i="22"/>
  <c r="L5" i="22"/>
  <c r="K5" i="22"/>
  <c r="J5" i="22"/>
  <c r="I5" i="22"/>
  <c r="H5" i="22"/>
  <c r="G5" i="22"/>
  <c r="F5" i="22"/>
  <c r="E5" i="22"/>
  <c r="D5" i="22"/>
  <c r="AH5" i="21"/>
  <c r="AG5" i="21"/>
  <c r="AF5" i="21"/>
  <c r="AE5" i="21"/>
  <c r="AD5" i="21"/>
  <c r="AC5" i="21"/>
  <c r="AB5" i="21"/>
  <c r="AA5" i="21"/>
  <c r="Z5" i="21"/>
  <c r="Y5" i="21"/>
  <c r="X5" i="21"/>
  <c r="W5" i="21"/>
  <c r="V5" i="21"/>
  <c r="U5" i="21"/>
  <c r="T5" i="21"/>
  <c r="S5" i="21"/>
  <c r="R5" i="21"/>
  <c r="Q5" i="21"/>
  <c r="P5" i="21"/>
  <c r="O5" i="21"/>
  <c r="N5" i="21"/>
  <c r="M5" i="21"/>
  <c r="L5" i="21"/>
  <c r="K5" i="21"/>
  <c r="J5" i="21"/>
  <c r="I5" i="21"/>
  <c r="H5" i="21"/>
  <c r="G5" i="21"/>
  <c r="F5" i="21"/>
  <c r="E5" i="21"/>
  <c r="D5" i="21"/>
  <c r="AG5" i="20"/>
  <c r="AF5" i="20"/>
  <c r="AE5" i="20"/>
  <c r="AD5" i="20"/>
  <c r="AC5" i="20"/>
  <c r="AB5" i="20"/>
  <c r="AA5" i="20"/>
  <c r="Z5" i="20"/>
  <c r="Y5" i="20"/>
  <c r="X5" i="20"/>
  <c r="W5" i="20"/>
  <c r="V5" i="20"/>
  <c r="U5" i="20"/>
  <c r="T5" i="20"/>
  <c r="S5" i="20"/>
  <c r="R5" i="20"/>
  <c r="Q5" i="20"/>
  <c r="P5" i="20"/>
  <c r="O5" i="20"/>
  <c r="N5" i="20"/>
  <c r="M5" i="20"/>
  <c r="L5" i="20"/>
  <c r="K5" i="20"/>
  <c r="J5" i="20"/>
  <c r="I5" i="20"/>
  <c r="H5" i="20"/>
  <c r="G5" i="20"/>
  <c r="F5" i="20"/>
  <c r="E5" i="20"/>
  <c r="D5" i="20"/>
  <c r="AH5" i="19"/>
  <c r="AG5" i="19"/>
  <c r="AF5" i="19"/>
  <c r="AE5" i="19"/>
  <c r="AD5" i="19"/>
  <c r="AC5" i="19"/>
  <c r="AB5" i="19"/>
  <c r="AA5" i="19"/>
  <c r="Z5" i="19"/>
  <c r="Y5" i="19"/>
  <c r="X5" i="19"/>
  <c r="W5" i="19"/>
  <c r="V5" i="19"/>
  <c r="U5" i="19"/>
  <c r="T5" i="19"/>
  <c r="S5" i="19"/>
  <c r="R5" i="19"/>
  <c r="Q5" i="19"/>
  <c r="P5" i="19"/>
  <c r="O5" i="19"/>
  <c r="N5" i="19"/>
  <c r="M5" i="19"/>
  <c r="L5" i="19"/>
  <c r="K5" i="19"/>
  <c r="J5" i="19"/>
  <c r="I5" i="19"/>
  <c r="H5" i="19"/>
  <c r="G5" i="19"/>
  <c r="F5" i="19"/>
  <c r="E5" i="19"/>
  <c r="D5" i="19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AH5" i="18"/>
  <c r="AG5" i="18"/>
  <c r="AF5" i="18"/>
  <c r="AE5" i="18"/>
  <c r="AD5" i="18"/>
  <c r="AC5" i="18"/>
  <c r="AB5" i="18"/>
  <c r="AA5" i="18"/>
  <c r="Z5" i="18"/>
  <c r="Y5" i="18"/>
  <c r="X5" i="18"/>
  <c r="W5" i="18"/>
  <c r="V5" i="18"/>
  <c r="U5" i="18"/>
  <c r="T5" i="18"/>
  <c r="S5" i="18"/>
  <c r="R5" i="18"/>
  <c r="Q5" i="18"/>
  <c r="P5" i="18"/>
  <c r="O5" i="18"/>
  <c r="N5" i="18"/>
  <c r="M5" i="18"/>
  <c r="L5" i="18"/>
  <c r="K5" i="18"/>
  <c r="J5" i="18"/>
  <c r="I5" i="18"/>
  <c r="H5" i="18"/>
  <c r="G5" i="18"/>
  <c r="F5" i="18"/>
  <c r="E5" i="18"/>
  <c r="D5" i="18"/>
  <c r="AH5" i="17"/>
  <c r="AG5" i="17"/>
  <c r="AF5" i="17"/>
  <c r="AE5" i="17"/>
  <c r="AD5" i="17"/>
  <c r="AC5" i="17"/>
  <c r="AB5" i="17"/>
  <c r="AA5" i="17"/>
  <c r="Z5" i="17"/>
  <c r="Y5" i="17"/>
  <c r="X5" i="17"/>
  <c r="W5" i="17"/>
  <c r="V5" i="17"/>
  <c r="U5" i="17"/>
  <c r="T5" i="17"/>
  <c r="S5" i="17"/>
  <c r="R5" i="17"/>
  <c r="Q5" i="17"/>
  <c r="P5" i="17"/>
  <c r="O5" i="17"/>
  <c r="N5" i="17"/>
  <c r="M5" i="17"/>
  <c r="L5" i="17"/>
  <c r="K5" i="17"/>
  <c r="J5" i="17"/>
  <c r="I5" i="17"/>
  <c r="H5" i="17"/>
  <c r="G5" i="17"/>
  <c r="F5" i="17"/>
  <c r="E5" i="17"/>
  <c r="D5" i="17"/>
  <c r="AG5" i="16"/>
  <c r="AF5" i="16"/>
  <c r="AE5" i="16"/>
  <c r="AD5" i="16"/>
  <c r="AC5" i="16"/>
  <c r="AB5" i="16"/>
  <c r="AA5" i="16"/>
  <c r="Z5" i="16"/>
  <c r="Y5" i="16"/>
  <c r="X5" i="16"/>
  <c r="W5" i="16"/>
  <c r="V5" i="16"/>
  <c r="U5" i="16"/>
  <c r="T5" i="16"/>
  <c r="S5" i="16"/>
  <c r="R5" i="16"/>
  <c r="Q5" i="16"/>
  <c r="P5" i="16"/>
  <c r="O5" i="16"/>
  <c r="N5" i="16"/>
  <c r="M5" i="16"/>
  <c r="L5" i="16"/>
  <c r="K5" i="16"/>
  <c r="J5" i="16"/>
  <c r="I5" i="16"/>
  <c r="H5" i="16"/>
  <c r="G5" i="16"/>
  <c r="F5" i="16"/>
  <c r="E5" i="16"/>
  <c r="D5" i="16"/>
  <c r="AH5" i="15"/>
  <c r="AG5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AG5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AG5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S8" i="5" l="1"/>
  <c r="C11" i="4" s="1"/>
  <c r="S7" i="5"/>
  <c r="C10" i="4" s="1"/>
  <c r="S6" i="5"/>
  <c r="S5" i="5"/>
  <c r="C8" i="8" s="1"/>
  <c r="S4" i="5"/>
  <c r="C9" i="4" l="1"/>
  <c r="C9" i="8"/>
  <c r="C8" i="4"/>
  <c r="C7" i="19"/>
  <c r="C7" i="18"/>
  <c r="C7" i="4"/>
  <c r="C7" i="8"/>
  <c r="C8" i="18"/>
  <c r="AG39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AF37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AG35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AG31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AG27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AG25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AG21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5" i="23"/>
  <c r="B5" i="22"/>
  <c r="AF12" i="23"/>
  <c r="AE12" i="23"/>
  <c r="AD12" i="23"/>
  <c r="AC12" i="23"/>
  <c r="AB12" i="23"/>
  <c r="AA12" i="23"/>
  <c r="Z12" i="23"/>
  <c r="Y12" i="23"/>
  <c r="X12" i="23"/>
  <c r="W12" i="23"/>
  <c r="V12" i="23"/>
  <c r="U12" i="23"/>
  <c r="T12" i="23"/>
  <c r="S12" i="23"/>
  <c r="R12" i="23"/>
  <c r="Q12" i="23"/>
  <c r="P12" i="23"/>
  <c r="O12" i="23"/>
  <c r="N12" i="23"/>
  <c r="M12" i="23"/>
  <c r="L12" i="23"/>
  <c r="K12" i="23"/>
  <c r="J12" i="23"/>
  <c r="I12" i="23"/>
  <c r="H12" i="23"/>
  <c r="G12" i="23"/>
  <c r="F12" i="23"/>
  <c r="E12" i="23"/>
  <c r="D12" i="23"/>
  <c r="AL11" i="23"/>
  <c r="AK11" i="23"/>
  <c r="AJ11" i="23"/>
  <c r="AI11" i="23"/>
  <c r="AL10" i="23"/>
  <c r="AK10" i="23"/>
  <c r="AJ10" i="23"/>
  <c r="AI10" i="23"/>
  <c r="AL9" i="23"/>
  <c r="AK9" i="23"/>
  <c r="AJ9" i="23"/>
  <c r="AI9" i="23"/>
  <c r="AL8" i="23"/>
  <c r="AK8" i="23"/>
  <c r="AJ8" i="23"/>
  <c r="AI8" i="23"/>
  <c r="AL7" i="23"/>
  <c r="AK7" i="23"/>
  <c r="AK12" i="23" s="1"/>
  <c r="AJ7" i="23"/>
  <c r="AI7" i="23"/>
  <c r="AI12" i="23" s="1"/>
  <c r="U3" i="23"/>
  <c r="T3" i="23"/>
  <c r="Q3" i="23"/>
  <c r="P3" i="23"/>
  <c r="M3" i="23"/>
  <c r="L3" i="23"/>
  <c r="I3" i="23"/>
  <c r="H3" i="23"/>
  <c r="E3" i="23"/>
  <c r="D3" i="23"/>
  <c r="C3" i="23"/>
  <c r="AM1" i="23"/>
  <c r="AF12" i="22"/>
  <c r="AE12" i="22"/>
  <c r="AD12" i="22"/>
  <c r="AC12" i="22"/>
  <c r="AB12" i="22"/>
  <c r="AA12" i="22"/>
  <c r="Z12" i="22"/>
  <c r="Y12" i="22"/>
  <c r="X12" i="22"/>
  <c r="W12" i="22"/>
  <c r="V12" i="22"/>
  <c r="U12" i="22"/>
  <c r="T12" i="22"/>
  <c r="S12" i="22"/>
  <c r="R12" i="22"/>
  <c r="Q12" i="22"/>
  <c r="P12" i="22"/>
  <c r="O12" i="22"/>
  <c r="N12" i="22"/>
  <c r="M12" i="22"/>
  <c r="L12" i="22"/>
  <c r="K12" i="22"/>
  <c r="J12" i="22"/>
  <c r="I12" i="22"/>
  <c r="H12" i="22"/>
  <c r="G12" i="22"/>
  <c r="F12" i="22"/>
  <c r="E12" i="22"/>
  <c r="D12" i="22"/>
  <c r="AL11" i="22"/>
  <c r="AK11" i="22"/>
  <c r="AJ11" i="22"/>
  <c r="AI11" i="22"/>
  <c r="AL10" i="22"/>
  <c r="AK10" i="22"/>
  <c r="AJ10" i="22"/>
  <c r="AI10" i="22"/>
  <c r="AL9" i="22"/>
  <c r="AK9" i="22"/>
  <c r="AJ9" i="22"/>
  <c r="AI9" i="22"/>
  <c r="AL8" i="22"/>
  <c r="AK8" i="22"/>
  <c r="AJ8" i="22"/>
  <c r="AI8" i="22"/>
  <c r="AL7" i="22"/>
  <c r="AL12" i="22" s="1"/>
  <c r="AK7" i="22"/>
  <c r="AJ7" i="22"/>
  <c r="AJ12" i="22" s="1"/>
  <c r="AI7" i="22"/>
  <c r="AI12" i="22" s="1"/>
  <c r="U3" i="22"/>
  <c r="T3" i="22"/>
  <c r="Q3" i="22"/>
  <c r="P3" i="22"/>
  <c r="M3" i="22"/>
  <c r="L3" i="22"/>
  <c r="I3" i="22"/>
  <c r="H3" i="22"/>
  <c r="E3" i="22"/>
  <c r="D3" i="22"/>
  <c r="C3" i="22"/>
  <c r="AM1" i="22"/>
  <c r="B5" i="21"/>
  <c r="B5" i="20"/>
  <c r="AF12" i="21"/>
  <c r="AE12" i="21"/>
  <c r="AD12" i="21"/>
  <c r="AC12" i="21"/>
  <c r="AB12" i="21"/>
  <c r="AA12" i="21"/>
  <c r="Z12" i="21"/>
  <c r="Y12" i="21"/>
  <c r="X12" i="21"/>
  <c r="W12" i="21"/>
  <c r="V12" i="21"/>
  <c r="U12" i="21"/>
  <c r="T12" i="21"/>
  <c r="S12" i="21"/>
  <c r="R12" i="21"/>
  <c r="Q12" i="21"/>
  <c r="P12" i="21"/>
  <c r="O12" i="21"/>
  <c r="N12" i="21"/>
  <c r="M12" i="21"/>
  <c r="L12" i="21"/>
  <c r="K12" i="21"/>
  <c r="J12" i="21"/>
  <c r="I12" i="21"/>
  <c r="H12" i="21"/>
  <c r="G12" i="21"/>
  <c r="F12" i="21"/>
  <c r="E12" i="21"/>
  <c r="D12" i="21"/>
  <c r="AL11" i="21"/>
  <c r="AK11" i="21"/>
  <c r="AJ11" i="21"/>
  <c r="AI11" i="21"/>
  <c r="AL10" i="21"/>
  <c r="AK10" i="21"/>
  <c r="AJ10" i="21"/>
  <c r="AI10" i="21"/>
  <c r="AL9" i="21"/>
  <c r="AK9" i="21"/>
  <c r="AJ9" i="21"/>
  <c r="AI9" i="21"/>
  <c r="AL8" i="21"/>
  <c r="AK8" i="21"/>
  <c r="AJ8" i="21"/>
  <c r="AI8" i="21"/>
  <c r="AL7" i="21"/>
  <c r="AL12" i="21" s="1"/>
  <c r="AK7" i="21"/>
  <c r="AJ7" i="21"/>
  <c r="AI7" i="21"/>
  <c r="U3" i="21"/>
  <c r="T3" i="21"/>
  <c r="Q3" i="21"/>
  <c r="P3" i="21"/>
  <c r="M3" i="21"/>
  <c r="L3" i="21"/>
  <c r="I3" i="21"/>
  <c r="H3" i="21"/>
  <c r="E3" i="21"/>
  <c r="D3" i="21"/>
  <c r="C3" i="21"/>
  <c r="AM1" i="21"/>
  <c r="AF12" i="20"/>
  <c r="AE12" i="20"/>
  <c r="AD12" i="20"/>
  <c r="AC12" i="20"/>
  <c r="AB12" i="20"/>
  <c r="AA12" i="20"/>
  <c r="Z12" i="20"/>
  <c r="Y12" i="20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K12" i="20"/>
  <c r="J12" i="20"/>
  <c r="I12" i="20"/>
  <c r="H12" i="20"/>
  <c r="G12" i="20"/>
  <c r="F12" i="20"/>
  <c r="E12" i="20"/>
  <c r="D12" i="20"/>
  <c r="AL11" i="20"/>
  <c r="AK11" i="20"/>
  <c r="AJ11" i="20"/>
  <c r="AI11" i="20"/>
  <c r="AL10" i="20"/>
  <c r="AK10" i="20"/>
  <c r="AJ10" i="20"/>
  <c r="AI10" i="20"/>
  <c r="AL9" i="20"/>
  <c r="AK9" i="20"/>
  <c r="AJ9" i="20"/>
  <c r="AI9" i="20"/>
  <c r="AL8" i="20"/>
  <c r="AK8" i="20"/>
  <c r="AJ8" i="20"/>
  <c r="AI8" i="20"/>
  <c r="AL7" i="20"/>
  <c r="AK7" i="20"/>
  <c r="AJ7" i="20"/>
  <c r="AI7" i="20"/>
  <c r="U3" i="20"/>
  <c r="T3" i="20"/>
  <c r="Q3" i="20"/>
  <c r="P3" i="20"/>
  <c r="M3" i="20"/>
  <c r="L3" i="20"/>
  <c r="I3" i="20"/>
  <c r="H3" i="20"/>
  <c r="E3" i="20"/>
  <c r="D3" i="20"/>
  <c r="C3" i="20"/>
  <c r="AM1" i="20"/>
  <c r="B5" i="19"/>
  <c r="AF12" i="19"/>
  <c r="AE12" i="19"/>
  <c r="AD12" i="19"/>
  <c r="AC12" i="19"/>
  <c r="AB12" i="19"/>
  <c r="AA12" i="19"/>
  <c r="Z12" i="19"/>
  <c r="Y12" i="19"/>
  <c r="X12" i="19"/>
  <c r="W12" i="19"/>
  <c r="V12" i="19"/>
  <c r="U12" i="19"/>
  <c r="T12" i="19"/>
  <c r="S12" i="19"/>
  <c r="R12" i="19"/>
  <c r="Q12" i="19"/>
  <c r="P12" i="19"/>
  <c r="O12" i="19"/>
  <c r="N12" i="19"/>
  <c r="M12" i="19"/>
  <c r="L12" i="19"/>
  <c r="K12" i="19"/>
  <c r="J12" i="19"/>
  <c r="I12" i="19"/>
  <c r="H12" i="19"/>
  <c r="G12" i="19"/>
  <c r="F12" i="19"/>
  <c r="E12" i="19"/>
  <c r="D12" i="19"/>
  <c r="AL11" i="19"/>
  <c r="AK11" i="19"/>
  <c r="AJ11" i="19"/>
  <c r="AI11" i="19"/>
  <c r="AL10" i="19"/>
  <c r="AK10" i="19"/>
  <c r="AJ10" i="19"/>
  <c r="AI10" i="19"/>
  <c r="AL9" i="19"/>
  <c r="AK9" i="19"/>
  <c r="AJ9" i="19"/>
  <c r="AI9" i="19"/>
  <c r="AL8" i="19"/>
  <c r="AK8" i="19"/>
  <c r="AJ8" i="19"/>
  <c r="AI8" i="19"/>
  <c r="AL7" i="19"/>
  <c r="AK7" i="19"/>
  <c r="AJ7" i="19"/>
  <c r="AI7" i="19"/>
  <c r="U3" i="19"/>
  <c r="T3" i="19"/>
  <c r="Q3" i="19"/>
  <c r="P3" i="19"/>
  <c r="M3" i="19"/>
  <c r="L3" i="19"/>
  <c r="I3" i="19"/>
  <c r="H3" i="19"/>
  <c r="E3" i="19"/>
  <c r="D3" i="19"/>
  <c r="C3" i="19"/>
  <c r="AM1" i="19"/>
  <c r="B5" i="17"/>
  <c r="B5" i="16"/>
  <c r="B5" i="15"/>
  <c r="B5" i="18"/>
  <c r="AF12" i="18"/>
  <c r="AE12" i="18"/>
  <c r="AD12" i="18"/>
  <c r="AC12" i="18"/>
  <c r="AB12" i="18"/>
  <c r="AA12" i="18"/>
  <c r="Z12" i="18"/>
  <c r="Y12" i="18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AL11" i="18"/>
  <c r="AK11" i="18"/>
  <c r="AJ11" i="18"/>
  <c r="AI11" i="18"/>
  <c r="AL10" i="18"/>
  <c r="AK10" i="18"/>
  <c r="AJ10" i="18"/>
  <c r="AI10" i="18"/>
  <c r="AL9" i="18"/>
  <c r="AK9" i="18"/>
  <c r="AJ9" i="18"/>
  <c r="AI9" i="18"/>
  <c r="AL8" i="18"/>
  <c r="AK8" i="18"/>
  <c r="AJ8" i="18"/>
  <c r="AI8" i="18"/>
  <c r="AL7" i="18"/>
  <c r="AK7" i="18"/>
  <c r="AK12" i="18" s="1"/>
  <c r="AJ7" i="18"/>
  <c r="AI7" i="18"/>
  <c r="AI12" i="18" s="1"/>
  <c r="U3" i="18"/>
  <c r="T3" i="18"/>
  <c r="Q3" i="18"/>
  <c r="P3" i="18"/>
  <c r="M3" i="18"/>
  <c r="L3" i="18"/>
  <c r="I3" i="18"/>
  <c r="H3" i="18"/>
  <c r="E3" i="18"/>
  <c r="D3" i="18"/>
  <c r="C3" i="18"/>
  <c r="AM1" i="18"/>
  <c r="AH12" i="17"/>
  <c r="AG12" i="17"/>
  <c r="AF12" i="17"/>
  <c r="AE12" i="17"/>
  <c r="AD12" i="17"/>
  <c r="AC12" i="17"/>
  <c r="AB12" i="17"/>
  <c r="AA12" i="17"/>
  <c r="Z12" i="17"/>
  <c r="Y12" i="17"/>
  <c r="X12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AL11" i="17"/>
  <c r="AK11" i="17"/>
  <c r="AJ11" i="17"/>
  <c r="AI11" i="17"/>
  <c r="AL10" i="17"/>
  <c r="AK10" i="17"/>
  <c r="AJ10" i="17"/>
  <c r="AI10" i="17"/>
  <c r="AL9" i="17"/>
  <c r="AK9" i="17"/>
  <c r="AJ9" i="17"/>
  <c r="AI9" i="17"/>
  <c r="AL8" i="17"/>
  <c r="AK8" i="17"/>
  <c r="AJ8" i="17"/>
  <c r="AI8" i="17"/>
  <c r="AL7" i="17"/>
  <c r="AK7" i="17"/>
  <c r="AJ7" i="17"/>
  <c r="AI7" i="17"/>
  <c r="U3" i="17"/>
  <c r="T3" i="17"/>
  <c r="Q3" i="17"/>
  <c r="P3" i="17"/>
  <c r="M3" i="17"/>
  <c r="L3" i="17"/>
  <c r="I3" i="17"/>
  <c r="H3" i="17"/>
  <c r="E3" i="17"/>
  <c r="D3" i="17"/>
  <c r="C3" i="17"/>
  <c r="AM1" i="17"/>
  <c r="AH12" i="16"/>
  <c r="AG12" i="16"/>
  <c r="AF12" i="16"/>
  <c r="AE12" i="16"/>
  <c r="AD12" i="16"/>
  <c r="AC12" i="16"/>
  <c r="AB12" i="16"/>
  <c r="AA12" i="16"/>
  <c r="Z12" i="16"/>
  <c r="Y12" i="16"/>
  <c r="X12" i="16"/>
  <c r="W12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H12" i="16"/>
  <c r="G12" i="16"/>
  <c r="F12" i="16"/>
  <c r="E12" i="16"/>
  <c r="D12" i="16"/>
  <c r="AL11" i="16"/>
  <c r="AK11" i="16"/>
  <c r="AJ11" i="16"/>
  <c r="AI11" i="16"/>
  <c r="AL10" i="16"/>
  <c r="AK10" i="16"/>
  <c r="AJ10" i="16"/>
  <c r="AI10" i="16"/>
  <c r="AL9" i="16"/>
  <c r="AK9" i="16"/>
  <c r="AJ9" i="16"/>
  <c r="AI9" i="16"/>
  <c r="AL8" i="16"/>
  <c r="AK8" i="16"/>
  <c r="AJ8" i="16"/>
  <c r="AI8" i="16"/>
  <c r="AL7" i="16"/>
  <c r="AK7" i="16"/>
  <c r="AJ7" i="16"/>
  <c r="AI7" i="16"/>
  <c r="U3" i="16"/>
  <c r="T3" i="16"/>
  <c r="Q3" i="16"/>
  <c r="P3" i="16"/>
  <c r="M3" i="16"/>
  <c r="L3" i="16"/>
  <c r="I3" i="16"/>
  <c r="H3" i="16"/>
  <c r="E3" i="16"/>
  <c r="D3" i="16"/>
  <c r="C3" i="16"/>
  <c r="AM1" i="16"/>
  <c r="AH12" i="15"/>
  <c r="AG12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AL11" i="15"/>
  <c r="AK11" i="15"/>
  <c r="AJ11" i="15"/>
  <c r="AI11" i="15"/>
  <c r="AL10" i="15"/>
  <c r="AK10" i="15"/>
  <c r="AJ10" i="15"/>
  <c r="AI10" i="15"/>
  <c r="AL9" i="15"/>
  <c r="AK9" i="15"/>
  <c r="AJ9" i="15"/>
  <c r="AI9" i="15"/>
  <c r="AL8" i="15"/>
  <c r="AK8" i="15"/>
  <c r="AJ8" i="15"/>
  <c r="AI8" i="15"/>
  <c r="AL7" i="15"/>
  <c r="AK7" i="15"/>
  <c r="AJ7" i="15"/>
  <c r="AI7" i="15"/>
  <c r="U3" i="15"/>
  <c r="T3" i="15"/>
  <c r="Q3" i="15"/>
  <c r="P3" i="15"/>
  <c r="M3" i="15"/>
  <c r="L3" i="15"/>
  <c r="I3" i="15"/>
  <c r="H3" i="15"/>
  <c r="E3" i="15"/>
  <c r="D3" i="15"/>
  <c r="C3" i="15"/>
  <c r="AM1" i="15"/>
  <c r="AJ12" i="20" l="1"/>
  <c r="AI12" i="21"/>
  <c r="AJ12" i="19"/>
  <c r="AJ12" i="21"/>
  <c r="AK12" i="22"/>
  <c r="AL12" i="19"/>
  <c r="AL12" i="20"/>
  <c r="AH36" i="6"/>
  <c r="AM11" i="22"/>
  <c r="AH38" i="6"/>
  <c r="AM9" i="18"/>
  <c r="AM11" i="18"/>
  <c r="AM8" i="19"/>
  <c r="AM10" i="19"/>
  <c r="AM8" i="21"/>
  <c r="AM10" i="21"/>
  <c r="AM9" i="22"/>
  <c r="AM10" i="22"/>
  <c r="AM7" i="16"/>
  <c r="AL12" i="16"/>
  <c r="AM9" i="16"/>
  <c r="AM11" i="16"/>
  <c r="AM8" i="20"/>
  <c r="AM10" i="20"/>
  <c r="AM8" i="23"/>
  <c r="AM9" i="23"/>
  <c r="AM10" i="23"/>
  <c r="AM11" i="23"/>
  <c r="AK38" i="6"/>
  <c r="AI38" i="6"/>
  <c r="AK36" i="6"/>
  <c r="AI36" i="6"/>
  <c r="AJ38" i="6"/>
  <c r="AJ36" i="6"/>
  <c r="AK12" i="21"/>
  <c r="AL12" i="23"/>
  <c r="AM7" i="23"/>
  <c r="AJ12" i="23"/>
  <c r="AM9" i="21"/>
  <c r="AM11" i="21"/>
  <c r="AM8" i="22"/>
  <c r="AM7" i="22"/>
  <c r="AI12" i="20"/>
  <c r="AK12" i="20"/>
  <c r="AM9" i="20"/>
  <c r="AM11" i="20"/>
  <c r="AM7" i="21"/>
  <c r="AI12" i="19"/>
  <c r="AK12" i="19"/>
  <c r="AM9" i="19"/>
  <c r="AM11" i="19"/>
  <c r="AM7" i="20"/>
  <c r="AM10" i="15"/>
  <c r="AM7" i="17"/>
  <c r="AL12" i="17"/>
  <c r="AM9" i="17"/>
  <c r="AM11" i="17"/>
  <c r="AJ12" i="18"/>
  <c r="AL12" i="18"/>
  <c r="AM8" i="18"/>
  <c r="AM10" i="18"/>
  <c r="AM7" i="19"/>
  <c r="AM7" i="18"/>
  <c r="AM7" i="15"/>
  <c r="AL12" i="15"/>
  <c r="AI12" i="16"/>
  <c r="AK12" i="16"/>
  <c r="AM8" i="16"/>
  <c r="AM10" i="16"/>
  <c r="AI12" i="17"/>
  <c r="AK12" i="17"/>
  <c r="AM8" i="17"/>
  <c r="AM10" i="17"/>
  <c r="AJ12" i="17"/>
  <c r="AI12" i="15"/>
  <c r="AK12" i="15"/>
  <c r="AM8" i="15"/>
  <c r="AM9" i="15"/>
  <c r="AM11" i="15"/>
  <c r="AJ12" i="16"/>
  <c r="AJ12" i="15"/>
  <c r="AM12" i="19" l="1"/>
  <c r="AM12" i="20"/>
  <c r="AM12" i="22"/>
  <c r="AM12" i="17"/>
  <c r="AM12" i="18"/>
  <c r="AM12" i="21"/>
  <c r="AM12" i="23"/>
  <c r="AM12" i="16"/>
  <c r="AM12" i="15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U3" i="14"/>
  <c r="T3" i="14"/>
  <c r="Q3" i="14"/>
  <c r="P3" i="14"/>
  <c r="M3" i="14"/>
  <c r="L3" i="14"/>
  <c r="I3" i="14"/>
  <c r="H3" i="14"/>
  <c r="E3" i="14"/>
  <c r="D3" i="14"/>
  <c r="C3" i="14"/>
  <c r="AM1" i="14"/>
  <c r="AH12" i="14"/>
  <c r="B5" i="14"/>
  <c r="AG12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AL11" i="14"/>
  <c r="AK11" i="14"/>
  <c r="AJ11" i="14"/>
  <c r="AI11" i="14"/>
  <c r="AL10" i="14"/>
  <c r="AK10" i="14"/>
  <c r="AJ10" i="14"/>
  <c r="AI10" i="14"/>
  <c r="AL9" i="14"/>
  <c r="AK9" i="14"/>
  <c r="AJ9" i="14"/>
  <c r="AI9" i="14"/>
  <c r="AL8" i="14"/>
  <c r="AK8" i="14"/>
  <c r="AJ8" i="14"/>
  <c r="AI8" i="14"/>
  <c r="AL7" i="14"/>
  <c r="AK7" i="14"/>
  <c r="AJ7" i="14"/>
  <c r="AI7" i="14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AI12" i="14" l="1"/>
  <c r="AK12" i="14"/>
  <c r="AM7" i="14"/>
  <c r="AL12" i="14"/>
  <c r="AM8" i="14"/>
  <c r="AM10" i="14"/>
  <c r="AM9" i="14"/>
  <c r="AM11" i="14"/>
  <c r="AJ12" i="14"/>
  <c r="U3" i="8"/>
  <c r="T3" i="8"/>
  <c r="Q3" i="8"/>
  <c r="P3" i="8"/>
  <c r="M3" i="8"/>
  <c r="L3" i="8"/>
  <c r="I3" i="8"/>
  <c r="H3" i="8"/>
  <c r="E3" i="8"/>
  <c r="D3" i="8"/>
  <c r="C3" i="8"/>
  <c r="AM12" i="14" l="1"/>
  <c r="AM1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AL11" i="8"/>
  <c r="AK11" i="8"/>
  <c r="AJ11" i="8"/>
  <c r="AI11" i="8"/>
  <c r="AL10" i="8"/>
  <c r="AK10" i="8"/>
  <c r="AJ10" i="8"/>
  <c r="AI10" i="8"/>
  <c r="AL9" i="8"/>
  <c r="AK9" i="8"/>
  <c r="AJ9" i="8"/>
  <c r="AI9" i="8"/>
  <c r="AL8" i="8"/>
  <c r="AK8" i="8"/>
  <c r="AJ8" i="8"/>
  <c r="AI8" i="8"/>
  <c r="AL7" i="8"/>
  <c r="AK7" i="8"/>
  <c r="AJ7" i="8"/>
  <c r="AI7" i="8"/>
  <c r="B5" i="8"/>
  <c r="AI12" i="8" l="1"/>
  <c r="AK12" i="8"/>
  <c r="AM9" i="8"/>
  <c r="AM11" i="8"/>
  <c r="AM7" i="8"/>
  <c r="AL12" i="8"/>
  <c r="AM8" i="8"/>
  <c r="AM10" i="8"/>
  <c r="AJ12" i="8"/>
  <c r="AI11" i="4"/>
  <c r="AJ11" i="4"/>
  <c r="AK11" i="4"/>
  <c r="AL11" i="4"/>
  <c r="AL7" i="4"/>
  <c r="AL8" i="4"/>
  <c r="AL9" i="4"/>
  <c r="AL10" i="4"/>
  <c r="AK7" i="4"/>
  <c r="AK8" i="4"/>
  <c r="AK9" i="4"/>
  <c r="AK10" i="4"/>
  <c r="AJ7" i="4"/>
  <c r="AJ8" i="4"/>
  <c r="AJ9" i="4"/>
  <c r="AJ10" i="4"/>
  <c r="B12" i="6"/>
  <c r="C12" i="6"/>
  <c r="D12" i="6"/>
  <c r="G12" i="6"/>
  <c r="H12" i="6"/>
  <c r="K12" i="6"/>
  <c r="L12" i="6"/>
  <c r="P12" i="6"/>
  <c r="Q12" i="6"/>
  <c r="T12" i="6"/>
  <c r="U12" i="6"/>
  <c r="AM12" i="8" l="1"/>
  <c r="AM11" i="4"/>
  <c r="AI7" i="4"/>
  <c r="AI8" i="4"/>
  <c r="AI9" i="4"/>
  <c r="AI10" i="4"/>
  <c r="C17" i="6" l="1"/>
  <c r="D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E17" i="6"/>
  <c r="AF17" i="6"/>
  <c r="AG17" i="6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D12" i="4"/>
  <c r="AK16" i="6" l="1"/>
  <c r="AJ16" i="6"/>
  <c r="AI16" i="6"/>
  <c r="AH16" i="6"/>
  <c r="K6" i="6"/>
  <c r="B6" i="6"/>
  <c r="B10" i="6"/>
  <c r="AE10" i="6"/>
  <c r="W10" i="6"/>
  <c r="K10" i="6"/>
  <c r="AE8" i="6"/>
  <c r="W8" i="6"/>
  <c r="K8" i="6"/>
  <c r="B8" i="6"/>
  <c r="AK28" i="6" l="1"/>
  <c r="AJ28" i="6"/>
  <c r="AI28" i="6"/>
  <c r="AH28" i="6"/>
  <c r="AI22" i="6" l="1"/>
  <c r="AK22" i="6"/>
  <c r="AJ22" i="6"/>
  <c r="AK24" i="6"/>
  <c r="AJ24" i="6"/>
  <c r="AI24" i="6"/>
  <c r="AJ30" i="6"/>
  <c r="AI30" i="6"/>
  <c r="AK30" i="6"/>
  <c r="AK18" i="6"/>
  <c r="AJ18" i="6"/>
  <c r="AI18" i="6"/>
  <c r="AK20" i="6"/>
  <c r="AJ20" i="6"/>
  <c r="AI20" i="6"/>
  <c r="AK26" i="6"/>
  <c r="AJ26" i="6"/>
  <c r="AI26" i="6"/>
  <c r="AK32" i="6"/>
  <c r="AJ32" i="6"/>
  <c r="AI32" i="6"/>
  <c r="AK34" i="6"/>
  <c r="AJ34" i="6"/>
  <c r="AI34" i="6"/>
  <c r="AH18" i="6"/>
  <c r="AH22" i="6"/>
  <c r="AH24" i="6"/>
  <c r="AH30" i="6"/>
  <c r="AH20" i="6"/>
  <c r="AH26" i="6"/>
  <c r="AH32" i="6"/>
  <c r="AH34" i="6"/>
  <c r="B5" i="4" l="1"/>
  <c r="AE6" i="6"/>
  <c r="W6" i="6"/>
  <c r="S4" i="6"/>
  <c r="P4" i="6"/>
  <c r="AH40" i="6" l="1"/>
  <c r="AI40" i="6"/>
  <c r="AJ40" i="6"/>
  <c r="AK40" i="6"/>
  <c r="AM7" i="4" l="1"/>
  <c r="AM10" i="4"/>
  <c r="D4" i="6" l="1"/>
  <c r="I1" i="6" s="1"/>
  <c r="AM9" i="4"/>
  <c r="AM8" i="4"/>
  <c r="AI12" i="4"/>
  <c r="AK12" i="4"/>
  <c r="AL12" i="4"/>
  <c r="AJ12" i="4"/>
  <c r="AM12" i="4" l="1"/>
</calcChain>
</file>

<file path=xl/sharedStrings.xml><?xml version="1.0" encoding="utf-8"?>
<sst xmlns="http://schemas.openxmlformats.org/spreadsheetml/2006/main" count="821" uniqueCount="144">
  <si>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</si>
  <si>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</si>
  <si>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</si>
  <si>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</si>
  <si>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</si>
  <si>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</si>
  <si>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</si>
  <si>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</si>
  <si>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</si>
  <si>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</si>
  <si>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</si>
  <si>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</si>
  <si>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</si>
  <si>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</si>
  <si>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</si>
  <si>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</si>
  <si>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</si>
  <si>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</si>
  <si>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</si>
  <si>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</si>
  <si>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</si>
  <si>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</si>
  <si>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</si>
  <si>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</si>
  <si>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</si>
  <si>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</si>
  <si>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</si>
  <si>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</si>
  <si>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</si>
  <si>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</si>
  <si>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</si>
  <si>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P</t>
  </si>
  <si>
    <t>Nome do Aluno</t>
  </si>
  <si>
    <t>Sobrenome do Aluno</t>
  </si>
  <si>
    <t>ID do Aluno</t>
  </si>
  <si>
    <t>Aluno</t>
  </si>
  <si>
    <t>Nome do Aluno</t>
  </si>
  <si>
    <t>T</t>
  </si>
  <si>
    <t>U</t>
  </si>
  <si>
    <t>E</t>
  </si>
  <si>
    <t>Dias de Ausência</t>
  </si>
  <si>
    <t>Totais</t>
  </si>
  <si>
    <t>Sexo</t>
  </si>
  <si>
    <t>Data de Nascimento</t>
  </si>
  <si>
    <t>Escola</t>
  </si>
  <si>
    <t>Nota</t>
  </si>
  <si>
    <t>Professor</t>
  </si>
  <si>
    <t>Sala</t>
  </si>
  <si>
    <t>Relação</t>
  </si>
  <si>
    <t>Número Comercial</t>
  </si>
  <si>
    <t>Número Residencial</t>
  </si>
  <si>
    <t>Contato de Emergência</t>
  </si>
  <si>
    <t>M</t>
  </si>
  <si>
    <t>Relação com o Contato de Emergência</t>
  </si>
  <si>
    <t>Número Comercial do Contato de Emergência</t>
  </si>
  <si>
    <t>Número Residencial do Contato de Emergência</t>
  </si>
  <si>
    <t>Nome Completo do Aluno</t>
  </si>
  <si>
    <t>Avô</t>
  </si>
  <si>
    <t>Totais de Participação</t>
  </si>
  <si>
    <t>Agosto</t>
  </si>
  <si>
    <t>Setembro</t>
  </si>
  <si>
    <t>Outubro</t>
  </si>
  <si>
    <t>Novembro</t>
  </si>
  <si>
    <t>Dezembro</t>
  </si>
  <si>
    <t>Janeiro</t>
  </si>
  <si>
    <t>Fevereiro</t>
  </si>
  <si>
    <t>Março</t>
  </si>
  <si>
    <t>Abril</t>
  </si>
  <si>
    <t>Maio</t>
  </si>
  <si>
    <t>Junho</t>
  </si>
  <si>
    <t>Julho</t>
  </si>
  <si>
    <t>N</t>
  </si>
  <si>
    <t>Início do Ano Escolar:</t>
  </si>
  <si>
    <t>Pai</t>
  </si>
  <si>
    <t>Pais ou Tutor 1</t>
  </si>
  <si>
    <t>Relação - Pais/Tutor 1</t>
  </si>
  <si>
    <t>Pais/Tutor 1 - Telefone Residencial</t>
  </si>
  <si>
    <t>Relação - Pais/Tutor 2</t>
  </si>
  <si>
    <t>Pais/Tutor 2 - Telefone Comercial</t>
  </si>
  <si>
    <t>Pais/Tutor 2 - Telefone Residencial</t>
  </si>
  <si>
    <t>Pais/Tutor 2</t>
  </si>
  <si>
    <t>Nome dos Pais ou do Tutor 1</t>
  </si>
  <si>
    <t>Nome dos Pais ou do Tutor 2</t>
  </si>
  <si>
    <t>Atrasado</t>
  </si>
  <si>
    <t>Dispensado</t>
  </si>
  <si>
    <t>Presente</t>
  </si>
  <si>
    <t>Sem Aula</t>
  </si>
  <si>
    <t>Participação</t>
  </si>
  <si>
    <t>REGISTRO DE PRESENÇA DO ALUNO</t>
  </si>
  <si>
    <t>S001</t>
  </si>
  <si>
    <t>Michael Alexander</t>
  </si>
  <si>
    <t>S002</t>
  </si>
  <si>
    <t>S003</t>
  </si>
  <si>
    <t>S004</t>
  </si>
  <si>
    <t>S005</t>
  </si>
  <si>
    <t xml:space="preserve">Escola de Belas Artes </t>
  </si>
  <si>
    <t xml:space="preserve">● </t>
  </si>
  <si>
    <t>1.</t>
  </si>
  <si>
    <t>2.</t>
  </si>
  <si>
    <t>3.</t>
  </si>
  <si>
    <t>Depois que os seus alunos tiverem sido inseridos na planilha Lista de Alunos, você poderá começar a acompanhar a presença deles no ano escolar usando estas etapas:</t>
  </si>
  <si>
    <t>POR ONDE COMEÇAR?</t>
  </si>
  <si>
    <t>ADICIONEI MEUS ALUNOS, O QUE FAÇO EM SEGUIDA?</t>
  </si>
  <si>
    <t>COMO ADICIONAR MAIS ALUNOS A UM REGISTRO DE PRESENÇA MENSAL?</t>
  </si>
  <si>
    <t>POSSO VER A PRESENÇA DE UM ALUNO DURANTE TODO O ANO ESCOLAR?</t>
  </si>
  <si>
    <t>Há algumas etapas que você precisa seguir para poder acompanhar a presença dos alunos:</t>
  </si>
  <si>
    <t xml:space="preserve">CHAVE COLORIDA </t>
  </si>
  <si>
    <t>Se a tabela não tiver uma linha Total, comece a digitar abaixo da tabela, e ela será automaticamente expandida quando você pressionar a tecla Enter ou Tab.</t>
  </si>
  <si>
    <t>Posicione o ponteiro de célula na última célula acima da linha Total, como a célula Dias de Ausência do último aluno, e pressione a tecla Tab.</t>
  </si>
  <si>
    <t>No canto inferior direito da tabela, posicione o mouse sobre a alça de dimensionamento de tabela e arraste para baixo para aumentar o número de linhas de tabela disponíveis.</t>
  </si>
  <si>
    <t>Em seguida, insira o registro de presença para cada dia do mês usando os tipos de presença fornecidos na Chave Colorida. A presença do aluno é calculada automaticamente por tipo de presença para cada aluno na coluna Totais. O total de ausências para cada dia é automaticamente calculado na parte inferior da tabela, na linha Total.</t>
  </si>
  <si>
    <t>As planilhas de registro de presença mensal e a Lista de Alunos são tabelas do Excel. Para adicionar novas linhas a qualquer tabela do Excel, siga um destes procedimentos:</t>
  </si>
  <si>
    <t>Pais/Tutor 1 - Telefone Comercial</t>
  </si>
  <si>
    <t xml:space="preserve"> </t>
  </si>
  <si>
    <t>Total de dias de ausência</t>
  </si>
  <si>
    <t>LISTA DE ALUNOS</t>
  </si>
  <si>
    <t>COMO USAR ESTE MODELO</t>
  </si>
  <si>
    <r>
      <t xml:space="preserve">Para adicionar um aluno a um registro de presença, clique em uma célula abaixo da coluna </t>
    </r>
    <r>
      <rPr>
        <b/>
        <sz val="10"/>
        <color theme="1"/>
        <rFont val="Century Gothic"/>
        <family val="2"/>
        <scheme val="minor"/>
      </rPr>
      <t>ID do Aluno</t>
    </r>
    <r>
      <rPr>
        <sz val="10"/>
        <color theme="1"/>
        <rFont val="Century Gothic"/>
        <family val="2"/>
        <scheme val="minor"/>
      </rPr>
      <t xml:space="preserve"> e selecione uma ID na lista. O nome do aluno será automaticamente exibido após a seleção da ID. </t>
    </r>
  </si>
  <si>
    <r>
      <t xml:space="preserve">Clique com o botão direito do mouse na tabela e, no menu pop-up, aponte para </t>
    </r>
    <r>
      <rPr>
        <b/>
        <sz val="10"/>
        <color theme="1"/>
        <rFont val="Century Gothic"/>
        <family val="2"/>
        <scheme val="minor"/>
      </rPr>
      <t>Inserir,</t>
    </r>
    <r>
      <rPr>
        <sz val="10"/>
        <color theme="1"/>
        <rFont val="Century Gothic"/>
        <family val="2"/>
        <scheme val="minor"/>
      </rPr>
      <t xml:space="preserve"> e depois clique em </t>
    </r>
    <r>
      <rPr>
        <b/>
        <sz val="10"/>
        <color theme="1"/>
        <rFont val="Century Gothic"/>
        <family val="2"/>
        <scheme val="minor"/>
      </rPr>
      <t>Linhas da Tabela Acima</t>
    </r>
    <r>
      <rPr>
        <sz val="10"/>
        <color theme="1"/>
        <rFont val="Century Gothic"/>
        <family val="2"/>
        <scheme val="minor"/>
      </rPr>
      <t xml:space="preserve"> ou L</t>
    </r>
    <r>
      <rPr>
        <b/>
        <sz val="10"/>
        <color theme="1"/>
        <rFont val="Century Gothic"/>
        <family val="2"/>
        <scheme val="minor"/>
      </rPr>
      <t>inhas da Tabela Abaixo</t>
    </r>
    <r>
      <rPr>
        <sz val="10"/>
        <color theme="1"/>
        <rFont val="Century Gothic"/>
        <family val="2"/>
        <scheme val="minor"/>
      </rPr>
      <t xml:space="preserve">. </t>
    </r>
  </si>
  <si>
    <r>
      <t xml:space="preserve">A última planilha desta pasta de trabalho, Relatório de Presença do Aluno, controla a presença durante o ano. Para ver o relatório de um aluno específico, clique na célula abaixo de </t>
    </r>
    <r>
      <rPr>
        <b/>
        <sz val="10"/>
        <color theme="1"/>
        <rFont val="Century Gothic"/>
        <family val="2"/>
        <scheme val="minor"/>
      </rPr>
      <t>ID do Aluno</t>
    </r>
    <r>
      <rPr>
        <sz val="10"/>
        <color theme="1"/>
        <rFont val="Century Gothic"/>
        <family val="2"/>
        <scheme val="minor"/>
      </rPr>
      <t xml:space="preserve"> e selecione uma ID na lista suspensa. As informações previamente inseridas na planilha Lista de Alunos referente ao aluno selecionado serão automaticamente exibidas. Observe que, ao usar pela primeira vez o Relatório de Presença do Aluno, você precisa inserir a Escola, a Nota, o Professor e a Sala. Essas informações não mudarão se você selecionar outro aluno. </t>
    </r>
  </si>
  <si>
    <r>
      <rPr>
        <b/>
        <sz val="10"/>
        <color theme="4" tint="-0.499984740745262"/>
        <rFont val="Century Gothic"/>
        <family val="2"/>
        <scheme val="minor"/>
      </rPr>
      <t>Adicionar seus alunos</t>
    </r>
    <r>
      <rPr>
        <b/>
        <sz val="10"/>
        <color theme="1"/>
        <rFont val="Century Gothic"/>
        <family val="2"/>
        <scheme val="minor"/>
      </rPr>
      <t>:</t>
    </r>
    <r>
      <rPr>
        <sz val="10"/>
        <color theme="1"/>
        <rFont val="Century Gothic"/>
        <family val="2"/>
        <scheme val="minor"/>
      </rPr>
      <t xml:space="preserve"> Na planilha </t>
    </r>
    <r>
      <rPr>
        <b/>
        <sz val="10"/>
        <color theme="1"/>
        <rFont val="Century Gothic"/>
        <family val="2"/>
        <scheme val="minor"/>
      </rPr>
      <t>Lista de Alunos</t>
    </r>
    <r>
      <rPr>
        <sz val="10"/>
        <color theme="1"/>
        <rFont val="Century Gothic"/>
        <family val="2"/>
        <scheme val="minor"/>
      </rPr>
      <t>, insira as informações de cada aluno, como nomes de tutores e dados de contato. A ID do Aluno é uma entrada importante, pois fornece um identificador exclusivo para cada aluno e é usada em toda a pasta de trabalho nas várias listas suspensas de ID do Aluno para facilitar a entrada de dados. As informações inseridas na Lista de Alunos também são usadas em outras planilhas, como no Relatório de Presença do Aluno e nos registros de presença mensais.</t>
    </r>
  </si>
  <si>
    <r>
      <rPr>
        <b/>
        <sz val="10"/>
        <color theme="4" tint="-0.499984740745262"/>
        <rFont val="Century Gothic"/>
        <family val="2"/>
        <scheme val="minor"/>
      </rPr>
      <t>Mudar o ano letivo:</t>
    </r>
    <r>
      <rPr>
        <sz val="10"/>
        <color theme="4" tint="-0.499984740745262"/>
        <rFont val="Century Gothic"/>
        <family val="2"/>
        <scheme val="minor"/>
      </rPr>
      <t xml:space="preserve"> </t>
    </r>
    <r>
      <rPr>
        <sz val="10"/>
        <color theme="1"/>
        <rFont val="Century Gothic"/>
        <family val="2"/>
        <scheme val="minor"/>
      </rPr>
      <t xml:space="preserve">Na planilha de presença em </t>
    </r>
    <r>
      <rPr>
        <b/>
        <sz val="10"/>
        <color theme="1"/>
        <rFont val="Century Gothic"/>
        <family val="2"/>
        <scheme val="minor"/>
      </rPr>
      <t>Agosto</t>
    </r>
    <r>
      <rPr>
        <sz val="10"/>
        <color theme="1"/>
        <rFont val="Century Gothic"/>
        <family val="2"/>
        <scheme val="minor"/>
      </rPr>
      <t>, clique no controle giratório localizado na extremidade superior direita do cabeçalho para atualizar o ano letivo. Essa mudança atualizará o cabeçalho em todos os registros de presença mensais da pasta de trabalho. (O botão giratório não é impresso.)</t>
    </r>
  </si>
  <si>
    <r>
      <rPr>
        <b/>
        <sz val="10"/>
        <color theme="1"/>
        <rFont val="Century Gothic"/>
        <family val="2"/>
        <scheme val="minor"/>
      </rPr>
      <t xml:space="preserve">Dica: </t>
    </r>
    <r>
      <rPr>
        <sz val="10"/>
        <color theme="1"/>
        <rFont val="Century Gothic"/>
        <family val="2"/>
        <scheme val="minor"/>
      </rPr>
      <t xml:space="preserve">Salve as etapas de entrada de dados! Depois que os seus alunos tiverem sido adicionados para um mês, selecione as IDs de Aluno inseridas, copie-as e depois cole-as na coluna </t>
    </r>
    <r>
      <rPr>
        <b/>
        <sz val="10"/>
        <color theme="1"/>
        <rFont val="Century Gothic"/>
        <family val="2"/>
        <scheme val="minor"/>
      </rPr>
      <t>ID do Aluno</t>
    </r>
    <r>
      <rPr>
        <sz val="10"/>
        <color theme="1"/>
        <rFont val="Century Gothic"/>
        <family val="2"/>
        <scheme val="minor"/>
      </rPr>
      <t xml:space="preserve"> para os meses restantes. </t>
    </r>
  </si>
  <si>
    <r>
      <rPr>
        <b/>
        <i/>
        <sz val="10"/>
        <color theme="4" tint="-0.499984740745262"/>
        <rFont val="Century Gothic"/>
        <family val="2"/>
        <scheme val="minor"/>
      </rPr>
      <t>(Opcional)</t>
    </r>
    <r>
      <rPr>
        <b/>
        <sz val="10"/>
        <color theme="4" tint="-0.499984740745262"/>
        <rFont val="Century Gothic"/>
        <family val="2"/>
        <scheme val="minor"/>
      </rPr>
      <t xml:space="preserve"> Modificar as cores na pasta de trabalho:</t>
    </r>
    <r>
      <rPr>
        <b/>
        <sz val="10"/>
        <color theme="1"/>
        <rFont val="Century Gothic"/>
        <family val="2"/>
        <scheme val="minor"/>
      </rPr>
      <t xml:space="preserve"> </t>
    </r>
    <r>
      <rPr>
        <sz val="10"/>
        <color theme="1"/>
        <rFont val="Century Gothic"/>
        <family val="2"/>
        <scheme val="minor"/>
      </rPr>
      <t xml:space="preserve">Primeiro, navegue até a última planilha, </t>
    </r>
    <r>
      <rPr>
        <b/>
        <sz val="10"/>
        <color theme="1"/>
        <rFont val="Century Gothic"/>
        <family val="2"/>
        <scheme val="minor"/>
      </rPr>
      <t>Relatório de Presença do Aluno</t>
    </r>
    <r>
      <rPr>
        <sz val="10"/>
        <color theme="1"/>
        <rFont val="Century Gothic"/>
        <family val="2"/>
        <scheme val="minor"/>
      </rPr>
      <t xml:space="preserve">, e na guia </t>
    </r>
    <r>
      <rPr>
        <b/>
        <sz val="10"/>
        <color theme="1"/>
        <rFont val="Century Gothic"/>
        <family val="2"/>
        <scheme val="minor"/>
      </rPr>
      <t>Revisar</t>
    </r>
    <r>
      <rPr>
        <sz val="10"/>
        <color theme="1"/>
        <rFont val="Century Gothic"/>
        <family val="2"/>
        <scheme val="minor"/>
      </rPr>
      <t xml:space="preserve">, no grupo </t>
    </r>
    <r>
      <rPr>
        <b/>
        <sz val="10"/>
        <color theme="1"/>
        <rFont val="Century Gothic"/>
        <family val="2"/>
        <scheme val="minor"/>
      </rPr>
      <t>Alterações</t>
    </r>
    <r>
      <rPr>
        <sz val="10"/>
        <color theme="1"/>
        <rFont val="Century Gothic"/>
        <family val="2"/>
        <scheme val="minor"/>
      </rPr>
      <t xml:space="preserve">, clique em </t>
    </r>
    <r>
      <rPr>
        <b/>
        <sz val="10"/>
        <color theme="1"/>
        <rFont val="Century Gothic"/>
        <family val="2"/>
        <scheme val="minor"/>
      </rPr>
      <t>Desproteger Planilha</t>
    </r>
    <r>
      <rPr>
        <sz val="10"/>
        <color theme="1"/>
        <rFont val="Century Gothic"/>
        <family val="2"/>
        <scheme val="minor"/>
      </rPr>
      <t xml:space="preserve">. Em seguida, na guia </t>
    </r>
    <r>
      <rPr>
        <b/>
        <sz val="10"/>
        <color theme="1"/>
        <rFont val="Century Gothic"/>
        <family val="2"/>
        <scheme val="minor"/>
      </rPr>
      <t>Layout de Página</t>
    </r>
    <r>
      <rPr>
        <sz val="10"/>
        <color theme="1"/>
        <rFont val="Century Gothic"/>
        <family val="2"/>
        <scheme val="minor"/>
      </rPr>
      <t xml:space="preserve">, no grupo </t>
    </r>
    <r>
      <rPr>
        <b/>
        <sz val="10"/>
        <color theme="1"/>
        <rFont val="Century Gothic"/>
        <family val="2"/>
        <scheme val="minor"/>
      </rPr>
      <t>Temas</t>
    </r>
    <r>
      <rPr>
        <sz val="10"/>
        <color theme="1"/>
        <rFont val="Century Gothic"/>
        <family val="2"/>
        <scheme val="minor"/>
      </rPr>
      <t xml:space="preserve">, clique em </t>
    </r>
    <r>
      <rPr>
        <b/>
        <sz val="10"/>
        <color theme="1"/>
        <rFont val="Century Gothic"/>
        <family val="2"/>
        <scheme val="minor"/>
      </rPr>
      <t>Cores</t>
    </r>
    <r>
      <rPr>
        <sz val="10"/>
        <color theme="1"/>
        <rFont val="Century Gothic"/>
        <family val="2"/>
        <scheme val="minor"/>
      </rPr>
      <t xml:space="preserve"> e selecione outro conjunto de cores de tema na galeria de cores. Depois de fazer suas mudanças nas cores e qualquer outra mudança de tema, retorne à planilha </t>
    </r>
    <r>
      <rPr>
        <b/>
        <sz val="10"/>
        <color theme="1"/>
        <rFont val="Century Gothic"/>
        <family val="2"/>
        <scheme val="minor"/>
      </rPr>
      <t>Relatório de Presença do Aluno</t>
    </r>
    <r>
      <rPr>
        <sz val="10"/>
        <color theme="1"/>
        <rFont val="Century Gothic"/>
        <family val="2"/>
        <scheme val="minor"/>
      </rPr>
      <t xml:space="preserve"> e, na guia </t>
    </r>
    <r>
      <rPr>
        <b/>
        <sz val="10"/>
        <color theme="1"/>
        <rFont val="Century Gothic"/>
        <family val="2"/>
        <scheme val="minor"/>
      </rPr>
      <t>Revisar</t>
    </r>
    <r>
      <rPr>
        <sz val="10"/>
        <color theme="1"/>
        <rFont val="Century Gothic"/>
        <family val="2"/>
        <scheme val="minor"/>
      </rPr>
      <t xml:space="preserve">, no grupo </t>
    </r>
    <r>
      <rPr>
        <b/>
        <sz val="10"/>
        <color theme="1"/>
        <rFont val="Century Gothic"/>
        <family val="2"/>
        <scheme val="minor"/>
      </rPr>
      <t>Alterações</t>
    </r>
    <r>
      <rPr>
        <sz val="10"/>
        <color theme="1"/>
        <rFont val="Century Gothic"/>
        <family val="2"/>
        <scheme val="minor"/>
      </rPr>
      <t>, clique em</t>
    </r>
    <r>
      <rPr>
        <b/>
        <sz val="10"/>
        <color theme="1"/>
        <rFont val="Century Gothic"/>
        <family val="2"/>
        <scheme val="minor"/>
      </rPr>
      <t xml:space="preserve"> Proteger Planilha</t>
    </r>
    <r>
      <rPr>
        <sz val="10"/>
        <color theme="1"/>
        <rFont val="Century Gothic"/>
        <family val="2"/>
        <scheme val="minor"/>
      </rPr>
      <t xml:space="preserve"> e depois clique em </t>
    </r>
    <r>
      <rPr>
        <b/>
        <sz val="10"/>
        <color theme="1"/>
        <rFont val="Century Gothic"/>
        <family val="2"/>
        <scheme val="minor"/>
      </rPr>
      <t>OK.</t>
    </r>
  </si>
  <si>
    <r>
      <rPr>
        <b/>
        <sz val="10"/>
        <color theme="1"/>
        <rFont val="Century Gothic"/>
        <family val="2"/>
        <scheme val="minor"/>
      </rPr>
      <t>Dica:</t>
    </r>
    <r>
      <rPr>
        <sz val="10"/>
        <color theme="1"/>
        <rFont val="Century Gothic"/>
        <family val="2"/>
        <scheme val="minor"/>
      </rPr>
      <t xml:space="preserve"> Crie um conjunto de cores de tema personalizado que corresponda às cores da sua escola! Para fazer isso, na guia </t>
    </r>
    <r>
      <rPr>
        <b/>
        <sz val="10"/>
        <color theme="1"/>
        <rFont val="Century Gothic"/>
        <family val="2"/>
        <scheme val="minor"/>
      </rPr>
      <t>Layout de Página</t>
    </r>
    <r>
      <rPr>
        <sz val="10"/>
        <color theme="1"/>
        <rFont val="Century Gothic"/>
        <family val="2"/>
        <scheme val="minor"/>
      </rPr>
      <t xml:space="preserve">, no grupo </t>
    </r>
    <r>
      <rPr>
        <b/>
        <sz val="10"/>
        <color theme="1"/>
        <rFont val="Century Gothic"/>
        <family val="2"/>
        <scheme val="minor"/>
      </rPr>
      <t>Temas</t>
    </r>
    <r>
      <rPr>
        <sz val="10"/>
        <color theme="1"/>
        <rFont val="Century Gothic"/>
        <family val="2"/>
        <scheme val="minor"/>
      </rPr>
      <t xml:space="preserve">, clique em </t>
    </r>
    <r>
      <rPr>
        <b/>
        <sz val="10"/>
        <color theme="1"/>
        <rFont val="Century Gothic"/>
        <family val="2"/>
        <scheme val="minor"/>
      </rPr>
      <t>Cores</t>
    </r>
    <r>
      <rPr>
        <sz val="10"/>
        <color theme="1"/>
        <rFont val="Century Gothic"/>
        <family val="2"/>
        <scheme val="minor"/>
      </rPr>
      <t xml:space="preserve"> e, em seguida, próximo à parte inferior da galeria de cores, clique em </t>
    </r>
    <r>
      <rPr>
        <b/>
        <sz val="10"/>
        <color theme="1"/>
        <rFont val="Century Gothic"/>
        <family val="2"/>
        <scheme val="minor"/>
      </rPr>
      <t>Criar Novas Cores do Tema</t>
    </r>
    <r>
      <rPr>
        <sz val="10"/>
        <color theme="1"/>
        <rFont val="Century Gothic"/>
        <family val="2"/>
        <scheme val="minor"/>
      </rPr>
      <t xml:space="preserve">. Para saber mais sobre como criar um conjunto de cores personalizado, veja o seguinte tópico da Ajuda: </t>
    </r>
  </si>
  <si>
    <t>Manuel</t>
  </si>
  <si>
    <t>Oliveira</t>
  </si>
  <si>
    <t>Susana</t>
  </si>
  <si>
    <t>Jordão Moreno</t>
  </si>
  <si>
    <t>Carlos Grilo</t>
  </si>
  <si>
    <t>(21) 123 45235</t>
  </si>
  <si>
    <t>t</t>
  </si>
  <si>
    <t>F</t>
  </si>
  <si>
    <t>faltou a aula</t>
  </si>
  <si>
    <t>f</t>
  </si>
  <si>
    <t>alcilandio@gmail.com</t>
  </si>
  <si>
    <t>n</t>
  </si>
  <si>
    <t>p</t>
  </si>
  <si>
    <t xml:space="preserve">Francisco </t>
  </si>
  <si>
    <t>Alcilandio</t>
  </si>
  <si>
    <t>antonio</t>
  </si>
  <si>
    <t>Pereira</t>
  </si>
  <si>
    <t>Agostinho</t>
  </si>
  <si>
    <t>2267-7649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</si>
</sst>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;0;"/>
    <numFmt numFmtId="165" formatCode="mm/dd/yy;@"/>
    <numFmt numFmtId="166" formatCode="[&lt;=9999999]###\-####;\(###\)\ ###\-####"/>
    <numFmt numFmtId="167" formatCode="0;0;;@"/>
    <numFmt numFmtId="168" formatCode="_)@"/>
  </numFmts>
  <fonts count="39" x14ac:knownFonts="1">
    <font>
      <sz val="10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0"/>
      <name val="Century Gothic"/>
      <family val="2"/>
    </font>
    <font>
      <b/>
      <sz val="12"/>
      <name val="Arial"/>
      <family val="2"/>
    </font>
    <font>
      <sz val="9"/>
      <name val="Century Gothic"/>
      <family val="2"/>
    </font>
    <font>
      <b/>
      <sz val="20"/>
      <name val="Century Gothic"/>
      <family val="1"/>
      <scheme val="major"/>
    </font>
    <font>
      <sz val="16"/>
      <name val="Century Gothic"/>
      <family val="1"/>
      <scheme val="major"/>
    </font>
    <font>
      <b/>
      <sz val="8"/>
      <color theme="1" tint="0.14996795556505021"/>
      <name val="Century Gothic"/>
      <family val="1"/>
      <scheme val="minor"/>
    </font>
    <font>
      <sz val="8"/>
      <name val="Century Gothic"/>
      <family val="1"/>
      <scheme val="minor"/>
    </font>
    <font>
      <b/>
      <sz val="8"/>
      <color theme="1" tint="0.14996795556505021"/>
      <name val="Century Gothic"/>
      <family val="2"/>
      <scheme val="minor"/>
    </font>
    <font>
      <sz val="8"/>
      <name val="Century Gothic"/>
      <family val="2"/>
      <scheme val="minor"/>
    </font>
    <font>
      <b/>
      <sz val="8"/>
      <color theme="0"/>
      <name val="Century Gothic"/>
      <family val="1"/>
      <scheme val="major"/>
    </font>
    <font>
      <sz val="10"/>
      <name val="Century Gothic"/>
      <family val="2"/>
      <scheme val="minor"/>
    </font>
    <font>
      <b/>
      <sz val="12"/>
      <name val="Century Gothic"/>
      <family val="2"/>
      <scheme val="minor"/>
    </font>
    <font>
      <b/>
      <sz val="22"/>
      <color theme="0"/>
      <name val="Century Gothic"/>
      <family val="2"/>
      <scheme val="major"/>
    </font>
    <font>
      <b/>
      <sz val="16"/>
      <color theme="0"/>
      <name val="Century Gothic"/>
      <family val="2"/>
      <scheme val="minor"/>
    </font>
    <font>
      <sz val="9"/>
      <name val="Century Gothic"/>
      <family val="2"/>
      <scheme val="minor"/>
    </font>
    <font>
      <b/>
      <sz val="10"/>
      <color theme="1"/>
      <name val="Century Gothic"/>
      <family val="2"/>
      <scheme val="minor"/>
    </font>
    <font>
      <sz val="9"/>
      <color theme="1"/>
      <name val="Century Gothic"/>
      <family val="2"/>
      <scheme val="minor"/>
    </font>
    <font>
      <b/>
      <sz val="18"/>
      <color theme="0"/>
      <name val="Century Gothic"/>
      <family val="2"/>
      <scheme val="minor"/>
    </font>
    <font>
      <b/>
      <sz val="16"/>
      <color theme="0"/>
      <name val="Century Gothic"/>
      <family val="1"/>
      <scheme val="major"/>
    </font>
    <font>
      <sz val="8"/>
      <color theme="1"/>
      <name val="Century Gothic"/>
      <family val="2"/>
      <scheme val="minor"/>
    </font>
    <font>
      <b/>
      <sz val="16"/>
      <color theme="0"/>
      <name val="Century Gothic"/>
      <family val="2"/>
      <scheme val="major"/>
    </font>
    <font>
      <b/>
      <i/>
      <sz val="14"/>
      <color theme="0"/>
      <name val="Century Gothic"/>
      <family val="2"/>
      <scheme val="major"/>
    </font>
    <font>
      <sz val="12"/>
      <color theme="3"/>
      <name val="Century Gothic"/>
      <family val="2"/>
      <scheme val="minor"/>
    </font>
    <font>
      <sz val="10"/>
      <color theme="4" tint="-0.499984740745262"/>
      <name val="Century Gothic"/>
      <family val="2"/>
      <scheme val="minor"/>
    </font>
    <font>
      <u/>
      <sz val="10"/>
      <color theme="10"/>
      <name val="Arial"/>
      <family val="2"/>
    </font>
    <font>
      <b/>
      <sz val="10"/>
      <color theme="4" tint="-0.499984740745262"/>
      <name val="Century Gothic"/>
      <family val="2"/>
      <scheme val="minor"/>
    </font>
    <font>
      <b/>
      <i/>
      <sz val="10"/>
      <color theme="4" tint="-0.499984740745262"/>
      <name val="Century Gothic"/>
      <family val="2"/>
      <scheme val="minor"/>
    </font>
    <font>
      <b/>
      <sz val="9"/>
      <color theme="4" tint="-0.499984740745262"/>
      <name val="Century Gothic"/>
      <family val="1"/>
      <scheme val="major"/>
    </font>
    <font>
      <sz val="9"/>
      <name val="Century Gothic"/>
      <family val="1"/>
      <scheme val="minor"/>
    </font>
    <font>
      <b/>
      <sz val="9"/>
      <color theme="1" tint="0.14996795556505021"/>
      <name val="Century Gothic"/>
      <family val="1"/>
      <scheme val="major"/>
    </font>
    <font>
      <sz val="9"/>
      <color theme="3" tint="-0.249977111117893"/>
      <name val="Century Gothic"/>
      <family val="1"/>
      <scheme val="major"/>
    </font>
    <font>
      <b/>
      <sz val="9"/>
      <color theme="3" tint="-0.249977111117893"/>
      <name val="Century Gothic"/>
      <family val="1"/>
      <scheme val="major"/>
    </font>
    <font>
      <sz val="9"/>
      <color theme="3" tint="-0.249977111117893"/>
      <name val="Century Gothic"/>
      <family val="1"/>
      <scheme val="minor"/>
    </font>
    <font>
      <sz val="9"/>
      <color theme="1"/>
      <name val="Century Gothic"/>
      <family val="1"/>
      <scheme val="minor"/>
    </font>
    <font>
      <b/>
      <sz val="9"/>
      <color theme="1" tint="0.14996795556505021"/>
      <name val="Century Gothic"/>
      <family val="1"/>
      <scheme val="minor"/>
    </font>
    <font>
      <b/>
      <sz val="8"/>
      <name val="Century Gothic"/>
      <family val="2"/>
      <scheme val="major"/>
    </font>
    <font>
      <b/>
      <sz val="11"/>
      <color theme="1"/>
      <name val="Century Gothic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/>
      </patternFill>
    </fill>
    <fill>
      <patternFill patternType="lightUp">
        <fgColor theme="0" tint="-0.34998626667073579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/>
      <top/>
      <bottom style="medium">
        <color theme="4" tint="-0.499984740745262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/>
      <right style="thin">
        <color theme="0" tint="-0.34998626667073579"/>
      </right>
      <top/>
      <bottom style="medium">
        <color theme="4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4" tint="-0.499984740745262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">
    <xf numFmtId="0" fontId="0" fillId="0" borderId="0"/>
    <xf numFmtId="0" fontId="14" fillId="0" borderId="0" applyNumberFormat="0" applyFill="0" applyBorder="0" applyAlignment="0" applyProtection="0"/>
    <xf numFmtId="0" fontId="7" fillId="3" borderId="1">
      <alignment vertical="center"/>
    </xf>
    <xf numFmtId="0" fontId="8" fillId="0" borderId="1">
      <alignment horizontal="left" vertical="center" wrapText="1"/>
      <protection locked="0"/>
    </xf>
    <xf numFmtId="165" fontId="8" fillId="0" borderId="1">
      <alignment horizontal="left" vertical="center" wrapText="1"/>
      <protection locked="0"/>
    </xf>
    <xf numFmtId="166" fontId="8" fillId="0" borderId="1">
      <alignment horizontal="left" vertical="center" wrapText="1"/>
      <protection locked="0"/>
    </xf>
    <xf numFmtId="0" fontId="9" fillId="4" borderId="2" applyBorder="0">
      <alignment horizontal="center" vertical="center"/>
    </xf>
    <xf numFmtId="1" fontId="9" fillId="4" borderId="1">
      <alignment horizontal="center" vertical="center"/>
    </xf>
    <xf numFmtId="0" fontId="10" fillId="5" borderId="1">
      <alignment horizontal="center" vertical="center"/>
      <protection locked="0"/>
    </xf>
    <xf numFmtId="0" fontId="10" fillId="6" borderId="1">
      <alignment horizontal="center" vertical="center"/>
    </xf>
    <xf numFmtId="0" fontId="1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8" fillId="0" borderId="11" applyNumberFormat="0" applyFill="0" applyAlignment="0" applyProtection="0"/>
  </cellStyleXfs>
  <cellXfs count="127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indent="2"/>
    </xf>
    <xf numFmtId="0" fontId="2" fillId="0" borderId="0" xfId="0" applyFont="1" applyAlignment="1">
      <alignment horizontal="center"/>
    </xf>
    <xf numFmtId="0" fontId="2" fillId="0" borderId="0" xfId="0" applyFont="1"/>
    <xf numFmtId="49" fontId="2" fillId="0" borderId="0" xfId="0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6" fontId="0" fillId="0" borderId="0" xfId="0" applyNumberFormat="1" applyAlignment="1">
      <alignment horizontal="left"/>
    </xf>
    <xf numFmtId="166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49" fontId="14" fillId="7" borderId="0" xfId="1" applyNumberFormat="1" applyFill="1" applyBorder="1" applyAlignment="1">
      <alignment vertical="center"/>
    </xf>
    <xf numFmtId="0" fontId="2" fillId="7" borderId="0" xfId="0" applyFont="1" applyFill="1" applyAlignment="1">
      <alignment vertical="center"/>
    </xf>
    <xf numFmtId="0" fontId="0" fillId="7" borderId="0" xfId="0" applyFill="1" applyAlignment="1">
      <alignment vertical="center"/>
    </xf>
    <xf numFmtId="0" fontId="3" fillId="7" borderId="0" xfId="0" applyFont="1" applyFill="1" applyAlignment="1">
      <alignment vertical="center"/>
    </xf>
    <xf numFmtId="0" fontId="2" fillId="7" borderId="0" xfId="0" applyFont="1" applyFill="1" applyAlignment="1">
      <alignment horizontal="center" vertical="center"/>
    </xf>
    <xf numFmtId="0" fontId="0" fillId="7" borderId="0" xfId="0" applyFill="1"/>
    <xf numFmtId="0" fontId="16" fillId="0" borderId="0" xfId="0" applyFont="1" applyAlignment="1">
      <alignment horizontal="right" vertical="center"/>
    </xf>
    <xf numFmtId="0" fontId="18" fillId="11" borderId="0" xfId="0" applyFont="1" applyFill="1" applyAlignment="1">
      <alignment horizontal="center" vertical="center"/>
    </xf>
    <xf numFmtId="0" fontId="18" fillId="9" borderId="0" xfId="0" applyFont="1" applyFill="1" applyAlignment="1">
      <alignment horizontal="center" vertical="center"/>
    </xf>
    <xf numFmtId="0" fontId="18" fillId="8" borderId="0" xfId="0" applyFont="1" applyFill="1" applyAlignment="1">
      <alignment horizontal="center" vertical="center"/>
    </xf>
    <xf numFmtId="0" fontId="18" fillId="10" borderId="0" xfId="0" applyFont="1" applyFill="1" applyAlignment="1">
      <alignment horizontal="center" vertical="center"/>
    </xf>
    <xf numFmtId="0" fontId="18" fillId="12" borderId="0" xfId="0" applyFont="1" applyFill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7" borderId="0" xfId="0" applyFont="1" applyFill="1" applyAlignment="1">
      <alignment horizontal="right" vertical="center"/>
    </xf>
    <xf numFmtId="0" fontId="19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vertical="center"/>
    </xf>
    <xf numFmtId="0" fontId="6" fillId="7" borderId="0" xfId="0" applyFont="1" applyFill="1" applyAlignment="1">
      <alignment horizontal="right" vertical="center"/>
    </xf>
    <xf numFmtId="0" fontId="14" fillId="7" borderId="0" xfId="1" applyFill="1" applyBorder="1" applyAlignment="1" applyProtection="1">
      <alignment vertical="center"/>
    </xf>
    <xf numFmtId="167" fontId="8" fillId="0" borderId="0" xfId="3" applyNumberFormat="1" applyBorder="1" applyAlignment="1" applyProtection="1">
      <alignment horizontal="left" vertical="center" wrapText="1" indent="1"/>
    </xf>
    <xf numFmtId="166" fontId="8" fillId="0" borderId="0" xfId="5" applyBorder="1" applyAlignment="1" applyProtection="1">
      <alignment horizontal="left" vertical="center" wrapText="1" indent="1"/>
    </xf>
    <xf numFmtId="0" fontId="18" fillId="0" borderId="0" xfId="0" applyFont="1" applyAlignment="1">
      <alignment horizontal="left" vertical="center"/>
    </xf>
    <xf numFmtId="0" fontId="21" fillId="0" borderId="0" xfId="0" applyFont="1"/>
    <xf numFmtId="0" fontId="21" fillId="11" borderId="0" xfId="0" applyFont="1" applyFill="1" applyAlignment="1">
      <alignment horizontal="center"/>
    </xf>
    <xf numFmtId="0" fontId="21" fillId="9" borderId="0" xfId="0" applyFont="1" applyFill="1" applyAlignment="1">
      <alignment horizontal="center"/>
    </xf>
    <xf numFmtId="0" fontId="21" fillId="8" borderId="0" xfId="0" applyFont="1" applyFill="1" applyAlignment="1">
      <alignment horizontal="center"/>
    </xf>
    <xf numFmtId="0" fontId="21" fillId="10" borderId="0" xfId="0" applyFont="1" applyFill="1" applyAlignment="1">
      <alignment horizontal="center"/>
    </xf>
    <xf numFmtId="0" fontId="21" fillId="12" borderId="0" xfId="0" applyFont="1" applyFill="1" applyAlignment="1">
      <alignment horizontal="center"/>
    </xf>
    <xf numFmtId="167" fontId="10" fillId="0" borderId="0" xfId="3" applyNumberFormat="1" applyFont="1" applyBorder="1" applyAlignment="1" applyProtection="1">
      <alignment horizontal="left"/>
    </xf>
    <xf numFmtId="167" fontId="10" fillId="0" borderId="0" xfId="3" applyNumberFormat="1" applyFont="1" applyBorder="1" applyAlignment="1" applyProtection="1">
      <alignment horizontal="left" vertical="center" wrapText="1" indent="1"/>
    </xf>
    <xf numFmtId="166" fontId="10" fillId="0" borderId="0" xfId="5" applyFont="1" applyBorder="1" applyAlignment="1" applyProtection="1">
      <alignment horizontal="left" vertical="center" wrapText="1" indent="1"/>
    </xf>
    <xf numFmtId="167" fontId="22" fillId="7" borderId="0" xfId="1" applyNumberFormat="1" applyFont="1" applyFill="1" applyBorder="1" applyAlignment="1" applyProtection="1">
      <alignment vertical="center"/>
    </xf>
    <xf numFmtId="0" fontId="23" fillId="7" borderId="0" xfId="1" applyFont="1" applyFill="1" applyBorder="1" applyAlignment="1" applyProtection="1">
      <alignment horizontal="left" vertical="center" indent="1"/>
    </xf>
    <xf numFmtId="0" fontId="1" fillId="7" borderId="0" xfId="0" applyFont="1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4" fillId="7" borderId="0" xfId="1" applyFill="1" applyAlignment="1">
      <alignment horizontal="left" vertical="center" indent="1"/>
    </xf>
    <xf numFmtId="0" fontId="24" fillId="0" borderId="0" xfId="11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quotePrefix="1" applyAlignment="1">
      <alignment vertical="top"/>
    </xf>
    <xf numFmtId="0" fontId="0" fillId="0" borderId="0" xfId="0" applyAlignment="1">
      <alignment vertical="center" wrapText="1"/>
    </xf>
    <xf numFmtId="0" fontId="24" fillId="0" borderId="0" xfId="11" applyAlignment="1">
      <alignment vertical="top"/>
    </xf>
    <xf numFmtId="168" fontId="29" fillId="2" borderId="4" xfId="2" applyNumberFormat="1" applyFont="1" applyFill="1" applyBorder="1">
      <alignment vertical="center"/>
    </xf>
    <xf numFmtId="168" fontId="29" fillId="2" borderId="5" xfId="2" applyNumberFormat="1" applyFont="1" applyFill="1" applyBorder="1">
      <alignment vertical="center"/>
    </xf>
    <xf numFmtId="0" fontId="30" fillId="0" borderId="3" xfId="3" applyFont="1" applyBorder="1" applyAlignment="1">
      <alignment horizontal="center" vertical="center" wrapText="1"/>
      <protection locked="0"/>
    </xf>
    <xf numFmtId="0" fontId="32" fillId="2" borderId="7" xfId="0" applyFont="1" applyFill="1" applyBorder="1" applyAlignment="1">
      <alignment horizontal="center" vertical="center"/>
    </xf>
    <xf numFmtId="164" fontId="34" fillId="0" borderId="3" xfId="8" applyNumberFormat="1" applyFont="1" applyFill="1" applyBorder="1" applyProtection="1">
      <alignment horizontal="center" vertical="center"/>
    </xf>
    <xf numFmtId="164" fontId="32" fillId="2" borderId="3" xfId="0" applyNumberFormat="1" applyFont="1" applyFill="1" applyBorder="1" applyAlignment="1">
      <alignment horizontal="center" vertical="center"/>
    </xf>
    <xf numFmtId="0" fontId="35" fillId="0" borderId="0" xfId="0" applyFont="1"/>
    <xf numFmtId="0" fontId="30" fillId="0" borderId="0" xfId="0" applyFont="1"/>
    <xf numFmtId="164" fontId="33" fillId="0" borderId="3" xfId="7" applyNumberFormat="1" applyFont="1" applyFill="1" applyBorder="1">
      <alignment horizontal="center" vertical="center"/>
    </xf>
    <xf numFmtId="0" fontId="29" fillId="2" borderId="3" xfId="2" applyFont="1" applyFill="1" applyBorder="1">
      <alignment vertical="center"/>
    </xf>
    <xf numFmtId="0" fontId="37" fillId="11" borderId="8" xfId="0" applyFont="1" applyFill="1" applyBorder="1" applyAlignment="1">
      <alignment horizontal="center" vertical="center"/>
    </xf>
    <xf numFmtId="0" fontId="37" fillId="9" borderId="9" xfId="0" applyFont="1" applyFill="1" applyBorder="1" applyAlignment="1">
      <alignment horizontal="center" vertical="center"/>
    </xf>
    <xf numFmtId="0" fontId="37" fillId="8" borderId="9" xfId="0" applyFont="1" applyFill="1" applyBorder="1" applyAlignment="1">
      <alignment horizontal="center" vertical="center"/>
    </xf>
    <xf numFmtId="0" fontId="37" fillId="10" borderId="9" xfId="0" applyFont="1" applyFill="1" applyBorder="1" applyAlignment="1">
      <alignment horizontal="center" vertical="center"/>
    </xf>
    <xf numFmtId="0" fontId="14" fillId="7" borderId="0" xfId="1" applyNumberFormat="1" applyFill="1" applyBorder="1" applyAlignment="1">
      <alignment vertical="center"/>
    </xf>
    <xf numFmtId="17" fontId="38" fillId="7" borderId="11" xfId="13" applyNumberFormat="1" applyFill="1" applyAlignment="1">
      <alignment horizontal="left" vertical="center"/>
    </xf>
    <xf numFmtId="0" fontId="38" fillId="7" borderId="11" xfId="13" applyFill="1"/>
    <xf numFmtId="0" fontId="38" fillId="7" borderId="11" xfId="13" applyFill="1" applyAlignment="1">
      <alignment horizontal="center"/>
    </xf>
    <xf numFmtId="0" fontId="38" fillId="0" borderId="11" xfId="13" applyFill="1" applyAlignment="1">
      <alignment vertical="center"/>
    </xf>
    <xf numFmtId="49" fontId="38" fillId="0" borderId="11" xfId="13" applyNumberFormat="1" applyFill="1" applyAlignment="1">
      <alignment horizontal="left" vertical="center"/>
    </xf>
    <xf numFmtId="0" fontId="38" fillId="0" borderId="11" xfId="13" applyFill="1" applyAlignment="1">
      <alignment horizontal="center" vertical="center"/>
    </xf>
    <xf numFmtId="49" fontId="38" fillId="11" borderId="11" xfId="13" applyNumberFormat="1" applyFill="1" applyAlignment="1">
      <alignment horizontal="center"/>
    </xf>
    <xf numFmtId="0" fontId="38" fillId="8" borderId="11" xfId="13" applyFill="1" applyAlignment="1">
      <alignment horizontal="center"/>
    </xf>
    <xf numFmtId="0" fontId="38" fillId="9" borderId="11" xfId="13" applyFill="1" applyAlignment="1">
      <alignment horizontal="center"/>
    </xf>
    <xf numFmtId="0" fontId="38" fillId="10" borderId="11" xfId="13" applyFill="1" applyAlignment="1">
      <alignment horizontal="center"/>
    </xf>
    <xf numFmtId="0" fontId="38" fillId="0" borderId="11" xfId="13" applyFill="1" applyAlignment="1">
      <alignment horizontal="left" vertical="center"/>
    </xf>
    <xf numFmtId="0" fontId="38" fillId="0" borderId="11" xfId="13" applyFill="1" applyProtection="1">
      <protection locked="0"/>
    </xf>
    <xf numFmtId="0" fontId="38" fillId="0" borderId="11" xfId="13"/>
    <xf numFmtId="164" fontId="38" fillId="0" borderId="11" xfId="13" applyNumberFormat="1" applyFill="1" applyAlignment="1" applyProtection="1">
      <alignment horizontal="center" vertical="center"/>
      <protection locked="0"/>
    </xf>
    <xf numFmtId="164" fontId="38" fillId="0" borderId="11" xfId="13" applyNumberFormat="1" applyFill="1" applyAlignment="1">
      <alignment horizontal="center" vertical="center"/>
    </xf>
    <xf numFmtId="164" fontId="38" fillId="0" borderId="11" xfId="13" applyNumberFormat="1" applyFill="1" applyAlignment="1">
      <alignment horizontal="center"/>
    </xf>
    <xf numFmtId="0" fontId="38" fillId="11" borderId="11" xfId="13" applyFill="1" applyAlignment="1">
      <alignment horizontal="center"/>
    </xf>
    <xf numFmtId="0" fontId="38" fillId="0" borderId="11" xfId="13" applyProtection="1">
      <protection locked="0"/>
    </xf>
    <xf numFmtId="167" fontId="38" fillId="0" borderId="11" xfId="13" applyNumberFormat="1"/>
    <xf numFmtId="167" fontId="38" fillId="0" borderId="11" xfId="13" applyNumberFormat="1" applyFill="1" applyAlignment="1" applyProtection="1">
      <alignment horizontal="center" vertical="center"/>
      <protection locked="0"/>
    </xf>
    <xf numFmtId="0" fontId="38" fillId="0" borderId="11" xfId="13" applyFill="1" applyAlignment="1" applyProtection="1">
      <alignment horizontal="center" vertical="center"/>
      <protection locked="0"/>
    </xf>
    <xf numFmtId="164" fontId="38" fillId="0" borderId="11" xfId="13" applyNumberFormat="1" applyAlignment="1">
      <alignment horizontal="center"/>
    </xf>
    <xf numFmtId="167" fontId="38" fillId="0" borderId="11" xfId="13" applyNumberFormat="1" applyFill="1" applyAlignment="1">
      <alignment vertical="center" wrapText="1"/>
    </xf>
    <xf numFmtId="164" fontId="38" fillId="0" borderId="11" xfId="13" applyNumberFormat="1" applyFill="1"/>
    <xf numFmtId="164" fontId="38" fillId="0" borderId="11" xfId="13" applyNumberForma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26" fillId="0" borderId="0" xfId="12" quotePrefix="1" applyAlignment="1">
      <alignment vertical="top" wrapText="1"/>
    </xf>
    <xf numFmtId="0" fontId="38" fillId="7" borderId="11" xfId="13" applyFill="1" applyAlignment="1">
      <alignment horizontal="center"/>
    </xf>
    <xf numFmtId="164" fontId="33" fillId="0" borderId="10" xfId="7" applyNumberFormat="1" applyFont="1" applyFill="1" applyBorder="1">
      <alignment horizontal="center" vertical="center"/>
    </xf>
    <xf numFmtId="164" fontId="33" fillId="0" borderId="7" xfId="7" applyNumberFormat="1" applyFont="1" applyFill="1" applyBorder="1">
      <alignment horizontal="center" vertical="center"/>
    </xf>
    <xf numFmtId="0" fontId="36" fillId="0" borderId="0" xfId="0" applyFont="1" applyAlignment="1">
      <alignment horizontal="right" vertical="center"/>
    </xf>
    <xf numFmtId="0" fontId="31" fillId="2" borderId="3" xfId="6" applyFont="1" applyFill="1" applyBorder="1">
      <alignment horizontal="center" vertical="center"/>
    </xf>
    <xf numFmtId="164" fontId="33" fillId="0" borderId="3" xfId="7" applyNumberFormat="1" applyFont="1" applyFill="1" applyBorder="1">
      <alignment horizontal="center" vertical="center"/>
    </xf>
    <xf numFmtId="0" fontId="31" fillId="2" borderId="10" xfId="6" applyFont="1" applyFill="1" applyBorder="1">
      <alignment horizontal="center" vertical="center"/>
    </xf>
    <xf numFmtId="0" fontId="31" fillId="2" borderId="7" xfId="6" applyFont="1" applyFill="1" applyBorder="1">
      <alignment horizontal="center" vertical="center"/>
    </xf>
    <xf numFmtId="0" fontId="11" fillId="7" borderId="0" xfId="0" applyFont="1" applyFill="1" applyAlignment="1">
      <alignment horizontal="center" vertical="center"/>
    </xf>
    <xf numFmtId="0" fontId="30" fillId="0" borderId="3" xfId="3" applyFont="1" applyBorder="1" applyAlignment="1">
      <alignment horizontal="left" vertical="center" wrapText="1" indent="1"/>
      <protection locked="0"/>
    </xf>
    <xf numFmtId="167" fontId="30" fillId="0" borderId="3" xfId="3" applyNumberFormat="1" applyFont="1" applyBorder="1" applyAlignment="1" applyProtection="1">
      <alignment horizontal="left" vertical="center" wrapText="1" indent="1"/>
    </xf>
    <xf numFmtId="168" fontId="29" fillId="2" borderId="3" xfId="2" applyNumberFormat="1" applyFont="1" applyFill="1" applyBorder="1">
      <alignment vertical="center"/>
    </xf>
    <xf numFmtId="0" fontId="20" fillId="7" borderId="0" xfId="0" applyFont="1" applyFill="1" applyAlignment="1">
      <alignment horizontal="center" vertical="center"/>
    </xf>
    <xf numFmtId="0" fontId="20" fillId="7" borderId="6" xfId="0" applyFont="1" applyFill="1" applyBorder="1" applyAlignment="1">
      <alignment horizontal="center" vertical="center"/>
    </xf>
    <xf numFmtId="0" fontId="29" fillId="2" borderId="3" xfId="2" applyFont="1" applyFill="1" applyBorder="1">
      <alignment vertical="center"/>
    </xf>
    <xf numFmtId="0" fontId="30" fillId="0" borderId="3" xfId="3" applyFont="1" applyBorder="1" applyAlignment="1">
      <alignment horizontal="center" vertical="center" wrapText="1"/>
      <protection locked="0"/>
    </xf>
    <xf numFmtId="166" fontId="30" fillId="0" borderId="3" xfId="5" applyFont="1" applyBorder="1" applyAlignment="1" applyProtection="1">
      <alignment horizontal="left" vertical="center" wrapText="1" indent="1"/>
    </xf>
    <xf numFmtId="167" fontId="30" fillId="0" borderId="3" xfId="3" applyNumberFormat="1" applyFont="1" applyBorder="1" applyAlignment="1" applyProtection="1">
      <alignment horizontal="center" vertical="center" wrapText="1"/>
    </xf>
    <xf numFmtId="14" fontId="30" fillId="0" borderId="3" xfId="4" applyNumberFormat="1" applyFont="1" applyBorder="1" applyAlignment="1" applyProtection="1">
      <alignment horizontal="center" vertical="center" wrapText="1"/>
    </xf>
  </cellXfs>
  <cellStyles count="14">
    <cellStyle name="Attendance Totals" xfId="7" xr:uid="{00000000-0005-0000-0000-000000000000}"/>
    <cellStyle name="Birthdate" xfId="4" xr:uid="{00000000-0005-0000-0000-000001000000}"/>
    <cellStyle name="Hiperlink" xfId="12" builtinId="8"/>
    <cellStyle name="Month" xfId="6" xr:uid="{00000000-0005-0000-0000-000003000000}"/>
    <cellStyle name="Normal" xfId="0" builtinId="0" customBuiltin="1"/>
    <cellStyle name="Phone Number" xfId="5" xr:uid="{00000000-0005-0000-0000-000005000000}"/>
    <cellStyle name="Student Information" xfId="2" xr:uid="{00000000-0005-0000-0000-000006000000}"/>
    <cellStyle name="Student Information - user entered" xfId="3" xr:uid="{00000000-0005-0000-0000-000007000000}"/>
    <cellStyle name="Título" xfId="1" builtinId="15" customBuiltin="1"/>
    <cellStyle name="Título 1" xfId="10" builtinId="16" customBuiltin="1"/>
    <cellStyle name="Título 2" xfId="11" builtinId="17" customBuiltin="1"/>
    <cellStyle name="Total" xfId="13" builtinId="25"/>
    <cellStyle name="Weekday" xfId="8" xr:uid="{00000000-0005-0000-0000-00000C000000}"/>
    <cellStyle name="Weekend" xfId="9" xr:uid="{00000000-0005-0000-0000-00000D000000}"/>
  </cellStyles>
  <dxfs count="994">
    <dxf>
      <font>
        <color theme="4" tint="0.79998168889431442"/>
      </font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/>
        </patternFill>
      </fill>
    </dxf>
    <dxf>
      <font>
        <color theme="4" tint="0.79998168889431442"/>
      </font>
    </dxf>
    <dxf>
      <font>
        <color theme="4"/>
      </font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1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alignment horizontal="center" vertical="bottom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alignment horizontal="center" vertical="bottom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alignment horizontal="center" vertical="bottom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alignment horizontal="center" vertical="bottom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67" formatCode="0;0;;@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alignment horizontal="center" vertical="bottom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alignment horizontal="center" vertical="bottom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alignment horizontal="center" vertical="bottom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alignment horizontal="center" vertical="bottom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67" formatCode="0;0;;@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alignment horizontal="center" vertical="bottom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alignment horizontal="center" vertical="bottom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alignment horizontal="center" vertical="bottom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alignment horizontal="center" vertical="bottom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67" formatCode="0;0;;@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alignment horizontal="center" vertical="bottom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alignment horizontal="center" vertical="bottom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alignment horizontal="center" vertical="bottom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alignment horizontal="center" vertical="bottom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67" formatCode="0;0;;@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alignment horizontal="center" vertical="bottom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alignment horizontal="center" vertical="bottom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alignment horizontal="center" vertical="bottom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alignment horizontal="center" vertical="bottom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67" formatCode="0;0;;@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alignment horizontal="center" vertical="bottom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alignment horizontal="center" vertical="bottom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alignment horizontal="center" vertical="bottom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alignment horizontal="center" vertical="bottom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67" formatCode="0;0;;@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alignment horizontal="center" vertical="bottom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alignment horizontal="center" vertical="bottom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alignment horizontal="center" vertical="bottom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alignment horizontal="center" vertical="bottom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alignment horizontal="center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67" formatCode="0;0;;@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alignment horizont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alignment horizont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alignment horizont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64" formatCode="0;0;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alignment horizont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alignment horizont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alignment horizont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64" formatCode="0;0;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alignment horizont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alignment horizont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alignment horizont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64" formatCode="0;0;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alignment horizont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alignment horizont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alignment horizont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0;0;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numFmt numFmtId="164" formatCode="0;0;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numFmt numFmtId="164" formatCode="0;0;"/>
      <alignment horizont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alignment horizont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alignment horizont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166" formatCode="[&lt;=9999999]###\-####;\(###\)\ ###\-####"/>
      <alignment horizontal="center" vertical="bottom" textRotation="0" wrapText="0" indent="0" justifyLastLine="0" shrinkToFit="0" readingOrder="0"/>
    </dxf>
    <dxf>
      <numFmt numFmtId="166" formatCode="[&lt;=9999999]###\-####;\(###\)\ ###\-####"/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166" formatCode="[&lt;=9999999]###\-####;\(###\)\ ###\-####"/>
      <alignment horizontal="center" vertical="bottom" textRotation="0" wrapText="0" indent="0" justifyLastLine="0" shrinkToFit="0" readingOrder="0"/>
    </dxf>
    <dxf>
      <numFmt numFmtId="166" formatCode="[&lt;=9999999]###\-####;\(###\)\ ###\-####"/>
      <alignment horizontal="center" vertical="bottom" textRotation="0" wrapText="0" indent="0" justifyLastLine="0" shrinkToFit="0" readingOrder="0"/>
    </dxf>
    <dxf>
      <numFmt numFmtId="166" formatCode="[&lt;=9999999]###\-####;\(###\)\ ###\-####"/>
      <alignment horizontal="left" vertical="bottom" textRotation="0" wrapText="0" indent="0" justifyLastLine="0" shrinkToFit="0" readingOrder="0"/>
    </dxf>
    <dxf>
      <numFmt numFmtId="166" formatCode="[&lt;=9999999]###\-####;\(###\)\ ###\-####"/>
      <alignment horizontal="left" vertical="bottom" textRotation="0" wrapText="0" indent="0" justifyLastLine="0" shrinkToFit="0" readingOrder="0"/>
    </dxf>
    <dxf>
      <numFmt numFmtId="166" formatCode="[&lt;=9999999]###\-####;\(###\)\ ###\-####"/>
      <alignment horizontal="center" vertical="bottom" textRotation="0" wrapText="0" indent="0" justifyLastLine="0" shrinkToFit="0" readingOrder="0"/>
    </dxf>
    <dxf>
      <numFmt numFmtId="166" formatCode="[&lt;=9999999]###\-####;\(###\)\ ###\-####"/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</font>
      <border>
        <top style="double">
          <color theme="1"/>
        </top>
      </border>
    </dxf>
    <dxf>
      <font>
        <b/>
        <i val="0"/>
        <color theme="0"/>
      </font>
      <fill>
        <patternFill>
          <bgColor theme="4"/>
        </patternFill>
      </fill>
      <border>
        <left style="thin">
          <color theme="3"/>
        </left>
        <right style="thin">
          <color theme="3"/>
        </right>
        <top style="thin">
          <color theme="4" tint="-0.499984740745262"/>
        </top>
        <bottom style="medium">
          <color theme="4" tint="-0.499984740745262"/>
        </bottom>
        <vertical style="thin">
          <color theme="3"/>
        </vertical>
        <horizontal style="thin">
          <color theme="3"/>
        </horizontal>
      </border>
    </dxf>
    <dxf>
      <font>
        <color theme="3" tint="-0.24994659260841701"/>
      </font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  <vertical style="thin">
          <color theme="3" tint="0.59996337778862885"/>
        </vertical>
        <horizontal style="thin">
          <color theme="3" tint="0.59996337778862885"/>
        </horizontal>
      </border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</font>
      <border>
        <top style="double">
          <color theme="1"/>
        </top>
      </border>
    </dxf>
    <dxf>
      <font>
        <color theme="1"/>
      </font>
      <fill>
        <patternFill>
          <bgColor theme="4" tint="0.79998168889431442"/>
        </patternFill>
      </fill>
      <border>
        <left style="thin">
          <color theme="3"/>
        </left>
        <right style="thin">
          <color theme="3"/>
        </right>
        <top style="medium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color theme="1"/>
      </font>
      <border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  <vertical style="thin">
          <color theme="3" tint="0.59996337778862885"/>
        </vertical>
        <horizontal style="thin">
          <color theme="3" tint="0.59996337778862885"/>
        </horizontal>
      </border>
    </dxf>
  </dxfs>
  <tableStyles count="3" defaultTableStyle="TableStyleMedium2" defaultPivotStyle="PivotStyleLight16">
    <tableStyle name="Employee Absence Table" pivot="0" count="5" xr9:uid="{00000000-0011-0000-FFFF-FFFF00000000}">
      <tableStyleElement type="wholeTable" dxfId="993"/>
      <tableStyleElement type="headerRow" dxfId="992"/>
      <tableStyleElement type="totalRow" dxfId="991"/>
      <tableStyleElement type="firstRowStripe" dxfId="990"/>
      <tableStyleElement type="secondRowStripe" dxfId="989"/>
    </tableStyle>
    <tableStyle name="Estilo de Tabela 1" pivot="0" count="1" xr9:uid="{00000000-0011-0000-FFFF-FFFF01000000}">
      <tableStyleElement type="wholeTable" dxfId="988"/>
    </tableStyle>
    <tableStyle name="Student List" pivot="0" count="5" xr9:uid="{00000000-0011-0000-FFFF-FFFF02000000}">
      <tableStyleElement type="wholeTable" dxfId="987"/>
      <tableStyleElement type="headerRow" dxfId="986"/>
      <tableStyleElement type="totalRow" dxfId="985"/>
      <tableStyleElement type="firstRowStripe" dxfId="984"/>
      <tableStyleElement type="secondRowStripe" dxfId="983"/>
    </tableStyle>
  </tableStyles>
  <colors>
    <mruColors>
      <color rgb="FFF0D2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Spin" dx="16" fmlaLink="AnoCalendário" max="3000" min="2010" page="10" val="2016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francyscoalcylandyo.com/supremo/" TargetMode="External"/><Relationship Id="rId1" Type="http://schemas.openxmlformats.org/officeDocument/2006/relationships/hyperlink" Target="#MENU!A1"/><Relationship Id="rId4" Type="http://schemas.openxmlformats.org/officeDocument/2006/relationships/hyperlink" Target="https://wa.me/message/QPD4JB3GWVYDA1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11</xdr:col>
      <xdr:colOff>552450</xdr:colOff>
      <xdr:row>0</xdr:row>
      <xdr:rowOff>438150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572000" y="0"/>
          <a:ext cx="1162050" cy="43815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início</a:t>
          </a:r>
        </a:p>
      </xdr:txBody>
    </xdr:sp>
    <xdr:clientData/>
  </xdr:twoCellAnchor>
  <xdr:twoCellAnchor editAs="oneCell">
    <xdr:from>
      <xdr:col>21</xdr:col>
      <xdr:colOff>335280</xdr:colOff>
      <xdr:row>4</xdr:row>
      <xdr:rowOff>144780</xdr:rowOff>
    </xdr:from>
    <xdr:to>
      <xdr:col>26</xdr:col>
      <xdr:colOff>187016</xdr:colOff>
      <xdr:row>6</xdr:row>
      <xdr:rowOff>982980</xdr:rowOff>
    </xdr:to>
    <xdr:pic>
      <xdr:nvPicPr>
        <xdr:cNvPr id="3" name="Imagem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E944F2A-4AD5-4C83-A77C-D9C665401E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209020" y="1310640"/>
          <a:ext cx="2899736" cy="2834640"/>
        </a:xfrm>
        <a:prstGeom prst="rect">
          <a:avLst/>
        </a:prstGeom>
      </xdr:spPr>
    </xdr:pic>
    <xdr:clientData/>
  </xdr:twoCellAnchor>
  <xdr:twoCellAnchor>
    <xdr:from>
      <xdr:col>13</xdr:col>
      <xdr:colOff>137160</xdr:colOff>
      <xdr:row>4</xdr:row>
      <xdr:rowOff>137160</xdr:rowOff>
    </xdr:from>
    <xdr:to>
      <xdr:col>21</xdr:col>
      <xdr:colOff>320040</xdr:colOff>
      <xdr:row>6</xdr:row>
      <xdr:rowOff>975360</xdr:rowOff>
    </xdr:to>
    <xdr:sp macro="" textlink="">
      <xdr:nvSpPr>
        <xdr:cNvPr id="4" name="CaixaDeTexto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D2F5BBE-13D9-48BD-8602-2D3878585340}"/>
            </a:ext>
          </a:extLst>
        </xdr:cNvPr>
        <xdr:cNvSpPr txBox="1"/>
      </xdr:nvSpPr>
      <xdr:spPr>
        <a:xfrm>
          <a:off x="6576060" y="1303020"/>
          <a:ext cx="4617720" cy="28346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 b="1">
              <a:latin typeface="Aptos Narrow" panose="020B0004020202020204" pitchFamily="34" charset="0"/>
            </a:rPr>
            <a:t>Conheça</a:t>
          </a:r>
          <a:r>
            <a:rPr lang="pt-BR" sz="1600" b="1" baseline="0">
              <a:latin typeface="Aptos Narrow" panose="020B0004020202020204" pitchFamily="34" charset="0"/>
            </a:rPr>
            <a:t> meu treinamento completo em Excel</a:t>
          </a:r>
          <a:br>
            <a:rPr lang="pt-BR" sz="1600" b="1" baseline="0">
              <a:latin typeface="Aptos Narrow" panose="020B0004020202020204" pitchFamily="34" charset="0"/>
            </a:rPr>
          </a:br>
          <a:br>
            <a:rPr lang="pt-BR" sz="1600" b="1" baseline="0">
              <a:latin typeface="Aptos Narrow" panose="020B0004020202020204" pitchFamily="34" charset="0"/>
            </a:rPr>
          </a:br>
          <a:r>
            <a:rPr lang="pt-BR" sz="1600" b="1" baseline="0">
              <a:latin typeface="Aptos Narrow" panose="020B0004020202020204" pitchFamily="34" charset="0"/>
            </a:rPr>
            <a:t>Do nível básico até o nível mais avançado em Excel</a:t>
          </a:r>
        </a:p>
        <a:p>
          <a:r>
            <a:rPr lang="pt-BR" sz="1600" b="1" baseline="0">
              <a:latin typeface="Aptos Narrow" panose="020B0004020202020204" pitchFamily="34" charset="0"/>
            </a:rPr>
            <a:t>aprenda estudando 30 minutos por dia </a:t>
          </a:r>
          <a:br>
            <a:rPr lang="pt-BR" sz="1600" b="1" baseline="0">
              <a:latin typeface="Aptos Narrow" panose="020B0004020202020204" pitchFamily="34" charset="0"/>
            </a:rPr>
          </a:br>
          <a:br>
            <a:rPr lang="pt-BR" sz="1600" b="1" baseline="0">
              <a:latin typeface="Aptos Narrow" panose="020B0004020202020204" pitchFamily="34" charset="0"/>
            </a:rPr>
          </a:br>
          <a:r>
            <a:rPr lang="pt-BR" sz="1600" b="1" baseline="0">
              <a:latin typeface="Aptos Narrow" panose="020B0004020202020204" pitchFamily="34" charset="0"/>
            </a:rPr>
            <a:t>Quer tirar dúvidas fale comigo no WhatsApp</a:t>
          </a:r>
          <a:r>
            <a:rPr lang="pt-BR" sz="1100" baseline="0">
              <a:latin typeface="Aptos Narrow" panose="020B0004020202020204" pitchFamily="34" charset="0"/>
            </a:rPr>
            <a:t>:</a:t>
          </a:r>
        </a:p>
        <a:p>
          <a:r>
            <a:rPr lang="pt-BR" sz="1100">
              <a:solidFill>
                <a:srgbClr val="0070C0"/>
              </a:solidFill>
              <a:latin typeface="Aptos Narrow" panose="020B0004020202020204" pitchFamily="34" charset="0"/>
            </a:rPr>
            <a:t>👉 https://wa.me/message/QPD4JB3GWVYDA1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14</xdr:col>
      <xdr:colOff>161925</xdr:colOff>
      <xdr:row>0</xdr:row>
      <xdr:rowOff>438150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5562600" y="0"/>
          <a:ext cx="1162050" cy="43815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início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13</xdr:col>
      <xdr:colOff>161925</xdr:colOff>
      <xdr:row>0</xdr:row>
      <xdr:rowOff>438150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5229225" y="0"/>
          <a:ext cx="1162050" cy="43815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início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13</xdr:col>
      <xdr:colOff>161925</xdr:colOff>
      <xdr:row>0</xdr:row>
      <xdr:rowOff>438150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5229225" y="0"/>
          <a:ext cx="1162050" cy="43815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início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14</xdr:col>
      <xdr:colOff>161925</xdr:colOff>
      <xdr:row>0</xdr:row>
      <xdr:rowOff>438150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5562600" y="0"/>
          <a:ext cx="1162050" cy="43815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início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0</xdr:row>
      <xdr:rowOff>57150</xdr:rowOff>
    </xdr:from>
    <xdr:to>
      <xdr:col>12</xdr:col>
      <xdr:colOff>171450</xdr:colOff>
      <xdr:row>0</xdr:row>
      <xdr:rowOff>495300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4905375" y="57150"/>
          <a:ext cx="1162050" cy="43815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início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390525</xdr:colOff>
      <xdr:row>0</xdr:row>
      <xdr:rowOff>0</xdr:rowOff>
    </xdr:from>
    <xdr:to>
      <xdr:col>36</xdr:col>
      <xdr:colOff>323850</xdr:colOff>
      <xdr:row>1</xdr:row>
      <xdr:rowOff>19050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8839200" y="0"/>
          <a:ext cx="1162050" cy="43815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início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1162050</xdr:colOff>
      <xdr:row>0</xdr:row>
      <xdr:rowOff>438150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638425" y="0"/>
          <a:ext cx="1162050" cy="43815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início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38100</xdr:colOff>
          <xdr:row>0</xdr:row>
          <xdr:rowOff>106680</xdr:rowOff>
        </xdr:from>
        <xdr:to>
          <xdr:col>39</xdr:col>
          <xdr:colOff>213360</xdr:colOff>
          <xdr:row>0</xdr:row>
          <xdr:rowOff>419100</xdr:rowOff>
        </xdr:to>
        <xdr:sp macro="" textlink="">
          <xdr:nvSpPr>
            <xdr:cNvPr id="2049" name="Controle Giratório 1" descr="Calendar Year Spinner. Click the spinner to change the school calendar year or type the year in cell AM.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3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xdr:twoCellAnchor>
    <xdr:from>
      <xdr:col>10</xdr:col>
      <xdr:colOff>0</xdr:colOff>
      <xdr:row>0</xdr:row>
      <xdr:rowOff>0</xdr:rowOff>
    </xdr:from>
    <xdr:to>
      <xdr:col>13</xdr:col>
      <xdr:colOff>161925</xdr:colOff>
      <xdr:row>0</xdr:row>
      <xdr:rowOff>438150</xdr:rowOff>
    </xdr:to>
    <xdr:sp macro="" textlink="">
      <xdr:nvSpPr>
        <xdr:cNvPr id="3" name="Seta: para a Esqu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229225" y="0"/>
          <a:ext cx="1162050" cy="43815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início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13</xdr:col>
      <xdr:colOff>161925</xdr:colOff>
      <xdr:row>0</xdr:row>
      <xdr:rowOff>438150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5229225" y="0"/>
          <a:ext cx="1162050" cy="43815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início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13</xdr:col>
      <xdr:colOff>161925</xdr:colOff>
      <xdr:row>0</xdr:row>
      <xdr:rowOff>438150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5229225" y="0"/>
          <a:ext cx="1162050" cy="43815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início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12</xdr:col>
      <xdr:colOff>161925</xdr:colOff>
      <xdr:row>0</xdr:row>
      <xdr:rowOff>438150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895850" y="0"/>
          <a:ext cx="1162050" cy="43815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início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13</xdr:col>
      <xdr:colOff>161925</xdr:colOff>
      <xdr:row>0</xdr:row>
      <xdr:rowOff>438150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5229225" y="0"/>
          <a:ext cx="1162050" cy="43815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início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13</xdr:col>
      <xdr:colOff>161925</xdr:colOff>
      <xdr:row>0</xdr:row>
      <xdr:rowOff>438150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5229225" y="0"/>
          <a:ext cx="1162050" cy="43815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início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13</xdr:col>
      <xdr:colOff>161925</xdr:colOff>
      <xdr:row>0</xdr:row>
      <xdr:rowOff>438150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5229225" y="0"/>
          <a:ext cx="1162050" cy="43815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início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istadeAlunos" displayName="ListadeAlunos" ref="B3:S8" totalsRowShown="0" headerRowDxfId="982">
  <autoFilter ref="B3:S8" xr:uid="{00000000-0009-0000-0100-000001000000}"/>
  <tableColumns count="18">
    <tableColumn id="1" xr3:uid="{00000000-0010-0000-0000-000001000000}" name="ID do Aluno" dataDxfId="981"/>
    <tableColumn id="2" xr3:uid="{00000000-0010-0000-0000-000002000000}" name="Nome do Aluno"/>
    <tableColumn id="3" xr3:uid="{00000000-0010-0000-0000-000003000000}" name="Sobrenome do Aluno" dataDxfId="980"/>
    <tableColumn id="5" xr3:uid="{00000000-0010-0000-0000-000005000000}" name="Sexo" dataDxfId="979"/>
    <tableColumn id="6" xr3:uid="{00000000-0010-0000-0000-000006000000}" name="Data de Nascimento" dataDxfId="978"/>
    <tableColumn id="7" xr3:uid="{00000000-0010-0000-0000-000007000000}" name="Pais ou Tutor 1" dataDxfId="977"/>
    <tableColumn id="10" xr3:uid="{00000000-0010-0000-0000-00000A000000}" name="Relação - Pais/Tutor 1" dataDxfId="976"/>
    <tableColumn id="9" xr3:uid="{00000000-0010-0000-0000-000009000000}" name="Pais/Tutor 1 - Telefone Comercial" dataDxfId="975"/>
    <tableColumn id="8" xr3:uid="{00000000-0010-0000-0000-000008000000}" name="Pais/Tutor 1 - Telefone Residencial" dataDxfId="974"/>
    <tableColumn id="18" xr3:uid="{00000000-0010-0000-0000-000012000000}" name="Pais/Tutor 2" dataDxfId="973"/>
    <tableColumn id="15" xr3:uid="{00000000-0010-0000-0000-00000F000000}" name="Relação - Pais/Tutor 2" dataDxfId="972"/>
    <tableColumn id="16" xr3:uid="{00000000-0010-0000-0000-000010000000}" name="Pais/Tutor 2 - Telefone Comercial" dataDxfId="971"/>
    <tableColumn id="17" xr3:uid="{00000000-0010-0000-0000-000011000000}" name="Pais/Tutor 2 - Telefone Residencial" dataDxfId="970"/>
    <tableColumn id="13" xr3:uid="{00000000-0010-0000-0000-00000D000000}" name="Contato de Emergência" dataDxfId="969"/>
    <tableColumn id="12" xr3:uid="{00000000-0010-0000-0000-00000C000000}" name="Relação com o Contato de Emergência" dataDxfId="968"/>
    <tableColumn id="11" xr3:uid="{00000000-0010-0000-0000-00000B000000}" name="Número Comercial do Contato de Emergência" dataDxfId="967"/>
    <tableColumn id="14" xr3:uid="{00000000-0010-0000-0000-00000E000000}" name="Número Residencial do Contato de Emergência" dataDxfId="966"/>
    <tableColumn id="4" xr3:uid="{00000000-0010-0000-0000-000004000000}" name="Nome Completo do Aluno" dataDxfId="965"/>
  </tableColumns>
  <tableStyleInfo name="TableStyleMedium21" showFirstColumn="0" showLastColumn="0" showRowStripes="1" showColumnStripes="0"/>
  <extLst>
    <ext xmlns:x14="http://schemas.microsoft.com/office/spreadsheetml/2009/9/main" uri="{504A1905-F514-4f6f-8877-14C23A59335A}">
      <x14:table altText="Lista de Alunos" altTextSummary="Fornece nomes de alunos, informações de contato de tutores e informações de contato de emergência para cada aluno.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9000000}" name="PresençaemAbril" displayName="PresençaemAbril" ref="B6:AM12" totalsRowCount="1" totalsRowDxfId="398" headerRowCellStyle="Total" dataCellStyle="Total" totalsRowCellStyle="Total">
  <tableColumns count="38">
    <tableColumn id="38" xr3:uid="{00000000-0010-0000-0900-000026000000}" name="ID do Aluno" dataDxfId="397" totalsRowDxfId="396" dataCellStyle="Total" totalsRowCellStyle="Total"/>
    <tableColumn id="1" xr3:uid="{00000000-0010-0000-0900-000001000000}" name="Nome do Aluno" totalsRowLabel="Total de dias de ausência" dataDxfId="395" totalsRowDxfId="394" dataCellStyle="Total" totalsRowCellStyle="Total"/>
    <tableColumn id="2" xr3:uid="{00000000-0010-0000-0900-000002000000}" name="1" totalsRowFunction="custom" dataDxfId="393" totalsRowDxfId="392" dataCellStyle="Total" totalsRowCellStyle="Total">
      <totalsRowFormula>COUNTIF(PresençaemAbril[1],"U")+COUNTIF(PresençaemAbril[1],"E")</totalsRowFormula>
    </tableColumn>
    <tableColumn id="3" xr3:uid="{00000000-0010-0000-0900-000003000000}" name="2" totalsRowFunction="custom" dataDxfId="391" totalsRowDxfId="390" dataCellStyle="Total" totalsRowCellStyle="Total">
      <totalsRowFormula>COUNTIF(PresençaemAbril[2],"U")+COUNTIF(PresençaemAbril[2],"E")</totalsRowFormula>
    </tableColumn>
    <tableColumn id="4" xr3:uid="{00000000-0010-0000-0900-000004000000}" name="3" totalsRowFunction="custom" dataDxfId="389" totalsRowDxfId="388" dataCellStyle="Total" totalsRowCellStyle="Total">
      <totalsRowFormula>COUNTIF(PresençaemAbril[3],"U")+COUNTIF(PresençaemAbril[3],"E")</totalsRowFormula>
    </tableColumn>
    <tableColumn id="5" xr3:uid="{00000000-0010-0000-0900-000005000000}" name="4" totalsRowFunction="custom" dataDxfId="387" totalsRowDxfId="386" dataCellStyle="Total" totalsRowCellStyle="Total">
      <totalsRowFormula>COUNTIF(PresençaemAbril[4],"U")+COUNTIF(PresençaemAbril[4],"E")</totalsRowFormula>
    </tableColumn>
    <tableColumn id="6" xr3:uid="{00000000-0010-0000-0900-000006000000}" name="5" totalsRowFunction="custom" dataDxfId="385" totalsRowDxfId="384" dataCellStyle="Total" totalsRowCellStyle="Total">
      <totalsRowFormula>COUNTIF(PresençaemAbril[5],"U")+COUNTIF(PresençaemAbril[5],"E")</totalsRowFormula>
    </tableColumn>
    <tableColumn id="7" xr3:uid="{00000000-0010-0000-0900-000007000000}" name="6" totalsRowFunction="custom" dataDxfId="383" totalsRowDxfId="382" dataCellStyle="Total" totalsRowCellStyle="Total">
      <totalsRowFormula>COUNTIF(PresençaemAbril[6],"U")+COUNTIF(PresençaemAbril[6],"E")</totalsRowFormula>
    </tableColumn>
    <tableColumn id="8" xr3:uid="{00000000-0010-0000-0900-000008000000}" name="7" totalsRowFunction="custom" dataDxfId="381" totalsRowDxfId="380" dataCellStyle="Total" totalsRowCellStyle="Total">
      <totalsRowFormula>COUNTIF(PresençaemAbril[7],"U")+COUNTIF(PresençaemAbril[7],"E")</totalsRowFormula>
    </tableColumn>
    <tableColumn id="9" xr3:uid="{00000000-0010-0000-0900-000009000000}" name="8" totalsRowFunction="custom" dataDxfId="379" totalsRowDxfId="378" dataCellStyle="Total" totalsRowCellStyle="Total">
      <totalsRowFormula>COUNTIF(PresençaemAbril[8],"U")+COUNTIF(PresençaemAbril[8],"E")</totalsRowFormula>
    </tableColumn>
    <tableColumn id="10" xr3:uid="{00000000-0010-0000-0900-00000A000000}" name="9" totalsRowFunction="custom" dataDxfId="377" totalsRowDxfId="376" dataCellStyle="Total" totalsRowCellStyle="Total">
      <totalsRowFormula>COUNTIF(PresençaemAbril[9],"U")+COUNTIF(PresençaemAbril[9],"E")</totalsRowFormula>
    </tableColumn>
    <tableColumn id="11" xr3:uid="{00000000-0010-0000-0900-00000B000000}" name="10" totalsRowFunction="custom" dataDxfId="375" totalsRowDxfId="374" dataCellStyle="Total" totalsRowCellStyle="Total">
      <totalsRowFormula>COUNTIF(PresençaemAbril[10],"U")+COUNTIF(PresençaemAbril[10],"E")</totalsRowFormula>
    </tableColumn>
    <tableColumn id="12" xr3:uid="{00000000-0010-0000-0900-00000C000000}" name="11" totalsRowFunction="custom" dataDxfId="373" totalsRowDxfId="372" dataCellStyle="Total" totalsRowCellStyle="Total">
      <totalsRowFormula>COUNTIF(PresençaemAbril[11],"U")+COUNTIF(PresençaemAbril[11],"E")</totalsRowFormula>
    </tableColumn>
    <tableColumn id="13" xr3:uid="{00000000-0010-0000-0900-00000D000000}" name="12" totalsRowFunction="custom" dataDxfId="371" totalsRowDxfId="370" dataCellStyle="Total" totalsRowCellStyle="Total">
      <totalsRowFormula>COUNTIF(PresençaemAbril[12],"U")+COUNTIF(PresençaemAbril[12],"E")</totalsRowFormula>
    </tableColumn>
    <tableColumn id="14" xr3:uid="{00000000-0010-0000-0900-00000E000000}" name="13" totalsRowFunction="custom" dataDxfId="369" totalsRowDxfId="368" dataCellStyle="Total" totalsRowCellStyle="Total">
      <totalsRowFormula>COUNTIF(PresençaemAbril[13],"U")+COUNTIF(PresençaemAbril[13],"E")</totalsRowFormula>
    </tableColumn>
    <tableColumn id="15" xr3:uid="{00000000-0010-0000-0900-00000F000000}" name="14" totalsRowFunction="custom" dataDxfId="367" totalsRowDxfId="366" dataCellStyle="Total" totalsRowCellStyle="Total">
      <totalsRowFormula>COUNTIF(PresençaemAbril[14],"U")+COUNTIF(PresençaemAbril[14],"E")</totalsRowFormula>
    </tableColumn>
    <tableColumn id="16" xr3:uid="{00000000-0010-0000-0900-000010000000}" name="15" totalsRowFunction="custom" dataDxfId="365" totalsRowDxfId="364" dataCellStyle="Total" totalsRowCellStyle="Total">
      <totalsRowFormula>COUNTIF(PresençaemAbril[15],"U")+COUNTIF(PresençaemAbril[15],"E")</totalsRowFormula>
    </tableColumn>
    <tableColumn id="17" xr3:uid="{00000000-0010-0000-0900-000011000000}" name="16" totalsRowFunction="custom" dataDxfId="363" totalsRowDxfId="362" dataCellStyle="Total" totalsRowCellStyle="Total">
      <totalsRowFormula>COUNTIF(PresençaemAbril[16],"U")+COUNTIF(PresençaemAbril[16],"E")</totalsRowFormula>
    </tableColumn>
    <tableColumn id="18" xr3:uid="{00000000-0010-0000-0900-000012000000}" name="17" totalsRowFunction="custom" dataDxfId="361" totalsRowDxfId="360" dataCellStyle="Total" totalsRowCellStyle="Total">
      <totalsRowFormula>COUNTIF(PresençaemAbril[17],"U")+COUNTIF(PresençaemAbril[17],"E")</totalsRowFormula>
    </tableColumn>
    <tableColumn id="19" xr3:uid="{00000000-0010-0000-0900-000013000000}" name="18" totalsRowFunction="custom" dataDxfId="359" totalsRowDxfId="358" dataCellStyle="Total" totalsRowCellStyle="Total">
      <totalsRowFormula>COUNTIF(PresençaemAbril[18],"U")+COUNTIF(PresençaemAbril[18],"E")</totalsRowFormula>
    </tableColumn>
    <tableColumn id="20" xr3:uid="{00000000-0010-0000-0900-000014000000}" name="19" totalsRowFunction="custom" dataDxfId="357" totalsRowDxfId="356" dataCellStyle="Total" totalsRowCellStyle="Total">
      <totalsRowFormula>COUNTIF(PresençaemAbril[19],"U")+COUNTIF(PresençaemAbril[19],"E")</totalsRowFormula>
    </tableColumn>
    <tableColumn id="21" xr3:uid="{00000000-0010-0000-0900-000015000000}" name="20" totalsRowFunction="custom" dataDxfId="355" totalsRowDxfId="354" dataCellStyle="Total" totalsRowCellStyle="Total">
      <totalsRowFormula>COUNTIF(PresençaemAbril[20],"U")+COUNTIF(PresençaemAbril[20],"E")</totalsRowFormula>
    </tableColumn>
    <tableColumn id="22" xr3:uid="{00000000-0010-0000-0900-000016000000}" name="21" totalsRowFunction="custom" dataDxfId="353" totalsRowDxfId="352" dataCellStyle="Total" totalsRowCellStyle="Total">
      <totalsRowFormula>COUNTIF(PresençaemAbril[21],"U")+COUNTIF(PresençaemAbril[21],"E")</totalsRowFormula>
    </tableColumn>
    <tableColumn id="23" xr3:uid="{00000000-0010-0000-0900-000017000000}" name="22" totalsRowFunction="custom" dataDxfId="351" totalsRowDxfId="350" dataCellStyle="Total" totalsRowCellStyle="Total">
      <totalsRowFormula>COUNTIF(PresençaemAbril[22],"U")+COUNTIF(PresençaemAbril[22],"E")</totalsRowFormula>
    </tableColumn>
    <tableColumn id="24" xr3:uid="{00000000-0010-0000-0900-000018000000}" name="23" totalsRowFunction="custom" dataDxfId="349" totalsRowDxfId="348" dataCellStyle="Total" totalsRowCellStyle="Total">
      <totalsRowFormula>COUNTIF(PresençaemAbril[23],"U")+COUNTIF(PresençaemAbril[23],"E")</totalsRowFormula>
    </tableColumn>
    <tableColumn id="25" xr3:uid="{00000000-0010-0000-0900-000019000000}" name="24" totalsRowFunction="custom" dataDxfId="347" totalsRowDxfId="346" dataCellStyle="Total" totalsRowCellStyle="Total">
      <totalsRowFormula>COUNTIF(PresençaemAbril[24],"U")+COUNTIF(PresençaemAbril[24],"E")</totalsRowFormula>
    </tableColumn>
    <tableColumn id="26" xr3:uid="{00000000-0010-0000-0900-00001A000000}" name="25" totalsRowFunction="custom" dataDxfId="345" totalsRowDxfId="344" dataCellStyle="Total" totalsRowCellStyle="Total">
      <totalsRowFormula>COUNTIF(PresençaemAbril[25],"U")+COUNTIF(PresençaemAbril[25],"E")</totalsRowFormula>
    </tableColumn>
    <tableColumn id="27" xr3:uid="{00000000-0010-0000-0900-00001B000000}" name="26" totalsRowFunction="custom" dataDxfId="343" totalsRowDxfId="342" dataCellStyle="Total" totalsRowCellStyle="Total">
      <totalsRowFormula>COUNTIF(PresençaemAbril[26],"U")+COUNTIF(PresençaemAbril[26],"E")</totalsRowFormula>
    </tableColumn>
    <tableColumn id="28" xr3:uid="{00000000-0010-0000-0900-00001C000000}" name="27" totalsRowFunction="custom" dataDxfId="341" totalsRowDxfId="340" dataCellStyle="Total" totalsRowCellStyle="Total">
      <totalsRowFormula>COUNTIF(PresençaemAbril[27],"U")+COUNTIF(PresençaemAbril[27],"E")</totalsRowFormula>
    </tableColumn>
    <tableColumn id="29" xr3:uid="{00000000-0010-0000-0900-00001D000000}" name="28" totalsRowFunction="custom" dataDxfId="339" totalsRowDxfId="338" dataCellStyle="Total" totalsRowCellStyle="Total">
      <totalsRowFormula>COUNTIF(PresençaemAbril[28],"U")+COUNTIF(PresençaemAbril[28],"E")</totalsRowFormula>
    </tableColumn>
    <tableColumn id="30" xr3:uid="{00000000-0010-0000-0900-00001E000000}" name="29" totalsRowFunction="custom" dataDxfId="337" totalsRowDxfId="336" dataCellStyle="Total" totalsRowCellStyle="Total">
      <totalsRowFormula>COUNTIF(PresençaemAbril[29],"U")+COUNTIF(PresençaemAbril[29],"E")</totalsRowFormula>
    </tableColumn>
    <tableColumn id="31" xr3:uid="{00000000-0010-0000-0900-00001F000000}" name="30" dataDxfId="335" totalsRowDxfId="334" dataCellStyle="Total" totalsRowCellStyle="Total"/>
    <tableColumn id="32" xr3:uid="{00000000-0010-0000-0900-000020000000}" name=" " dataDxfId="333" totalsRowDxfId="332" dataCellStyle="Total" totalsRowCellStyle="Total"/>
    <tableColumn id="35" xr3:uid="{00000000-0010-0000-0900-000023000000}" name="T" totalsRowFunction="sum" dataDxfId="331" totalsRowDxfId="330" dataCellStyle="Total" totalsRowCellStyle="Total">
      <calculatedColumnFormula>COUNTIF(PresençaemAbril[[#This Row],[1]:[ ]],Código1)</calculatedColumnFormula>
    </tableColumn>
    <tableColumn id="34" xr3:uid="{00000000-0010-0000-0900-000022000000}" name="E" totalsRowFunction="sum" dataDxfId="329" totalsRowDxfId="328" dataCellStyle="Total" totalsRowCellStyle="Total">
      <calculatedColumnFormula>COUNTIF(PresençaemAbril[[#This Row],[1]:[ ]],Código2)</calculatedColumnFormula>
    </tableColumn>
    <tableColumn id="37" xr3:uid="{00000000-0010-0000-0900-000025000000}" name="U" totalsRowFunction="sum" dataDxfId="327" totalsRowDxfId="326" dataCellStyle="Total" totalsRowCellStyle="Total">
      <calculatedColumnFormula>COUNTIF(PresençaemAbril[[#This Row],[1]:[ ]],Código3)</calculatedColumnFormula>
    </tableColumn>
    <tableColumn id="36" xr3:uid="{00000000-0010-0000-0900-000024000000}" name="P" totalsRowFunction="sum" dataDxfId="325" totalsRowDxfId="324" dataCellStyle="Total" totalsRowCellStyle="Total">
      <calculatedColumnFormula>COUNTIF(PresençaemAbril[[#This Row],[1]:[ ]],Código4)</calculatedColumnFormula>
    </tableColumn>
    <tableColumn id="33" xr3:uid="{00000000-0010-0000-0900-000021000000}" name="Dias de Ausência" totalsRowFunction="sum" dataDxfId="323" totalsRowDxfId="322" dataCellStyle="Total" totalsRowCellStyle="Total">
      <calculatedColumnFormula>SUM(PresençaemAbril[[#This Row],[E]:[U]])</calculatedColumnFormula>
    </tableColumn>
  </tableColumns>
  <tableStyleInfo name="Employee Absence Table" showFirstColumn="0" showLastColumn="0" showRowStripes="1" showColumnStripes="1"/>
  <extLst>
    <ext xmlns:x14="http://schemas.microsoft.com/office/spreadsheetml/2009/9/main" uri="{504A1905-F514-4f6f-8877-14C23A59335A}">
      <x14:table altText="Registro de Presença em Fevereiro" altTextSummary="Controla a presença do aluno, como T=Atrasado, E=Dispensado, U=Não Dispensado, P=Presente, N=Sem Aula no mês de abril.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PresençaemMaio" displayName="PresençaemMaio" ref="B6:AM12" totalsRowCount="1" totalsRowDxfId="321" headerRowCellStyle="Total" dataCellStyle="Total" totalsRowCellStyle="Total">
  <tableColumns count="38">
    <tableColumn id="38" xr3:uid="{00000000-0010-0000-0A00-000026000000}" name="ID do Aluno" dataDxfId="320" totalsRowDxfId="319" dataCellStyle="Total" totalsRowCellStyle="Total"/>
    <tableColumn id="1" xr3:uid="{00000000-0010-0000-0A00-000001000000}" name="Nome do Aluno" totalsRowLabel="Total de dias de ausência" dataDxfId="318" totalsRowDxfId="317" dataCellStyle="Total" totalsRowCellStyle="Total"/>
    <tableColumn id="2" xr3:uid="{00000000-0010-0000-0A00-000002000000}" name="1" totalsRowFunction="custom" dataDxfId="316" totalsRowDxfId="315" dataCellStyle="Total" totalsRowCellStyle="Total">
      <totalsRowFormula>COUNTIF(PresençaemMaio[1],"U")+COUNTIF(PresençaemMaio[1],"E")</totalsRowFormula>
    </tableColumn>
    <tableColumn id="3" xr3:uid="{00000000-0010-0000-0A00-000003000000}" name="2" totalsRowFunction="custom" dataDxfId="314" totalsRowDxfId="313" dataCellStyle="Total" totalsRowCellStyle="Total">
      <totalsRowFormula>COUNTIF(PresençaemMaio[2],"U")+COUNTIF(PresençaemMaio[2],"E")</totalsRowFormula>
    </tableColumn>
    <tableColumn id="4" xr3:uid="{00000000-0010-0000-0A00-000004000000}" name="3" totalsRowFunction="custom" dataDxfId="312" totalsRowDxfId="311" dataCellStyle="Total" totalsRowCellStyle="Total">
      <totalsRowFormula>COUNTIF(PresençaemMaio[3],"U")+COUNTIF(PresençaemMaio[3],"E")</totalsRowFormula>
    </tableColumn>
    <tableColumn id="5" xr3:uid="{00000000-0010-0000-0A00-000005000000}" name="4" totalsRowFunction="custom" dataDxfId="310" totalsRowDxfId="309" dataCellStyle="Total" totalsRowCellStyle="Total">
      <totalsRowFormula>COUNTIF(PresençaemMaio[4],"U")+COUNTIF(PresençaemMaio[4],"E")</totalsRowFormula>
    </tableColumn>
    <tableColumn id="6" xr3:uid="{00000000-0010-0000-0A00-000006000000}" name="5" totalsRowFunction="custom" dataDxfId="308" totalsRowDxfId="307" dataCellStyle="Total" totalsRowCellStyle="Total">
      <totalsRowFormula>COUNTIF(PresençaemMaio[5],"U")+COUNTIF(PresençaemMaio[5],"E")</totalsRowFormula>
    </tableColumn>
    <tableColumn id="7" xr3:uid="{00000000-0010-0000-0A00-000007000000}" name="6" totalsRowFunction="custom" dataDxfId="306" totalsRowDxfId="305" dataCellStyle="Total" totalsRowCellStyle="Total">
      <totalsRowFormula>COUNTIF(PresençaemMaio[6],"U")+COUNTIF(PresençaemMaio[6],"E")</totalsRowFormula>
    </tableColumn>
    <tableColumn id="8" xr3:uid="{00000000-0010-0000-0A00-000008000000}" name="7" totalsRowFunction="custom" dataDxfId="304" totalsRowDxfId="303" dataCellStyle="Total" totalsRowCellStyle="Total">
      <totalsRowFormula>COUNTIF(PresençaemMaio[7],"U")+COUNTIF(PresençaemMaio[7],"E")</totalsRowFormula>
    </tableColumn>
    <tableColumn id="9" xr3:uid="{00000000-0010-0000-0A00-000009000000}" name="8" totalsRowFunction="custom" dataDxfId="302" totalsRowDxfId="301" dataCellStyle="Total" totalsRowCellStyle="Total">
      <totalsRowFormula>COUNTIF(PresençaemMaio[8],"U")+COUNTIF(PresençaemMaio[8],"E")</totalsRowFormula>
    </tableColumn>
    <tableColumn id="10" xr3:uid="{00000000-0010-0000-0A00-00000A000000}" name="9" totalsRowFunction="custom" dataDxfId="300" totalsRowDxfId="299" dataCellStyle="Total" totalsRowCellStyle="Total">
      <totalsRowFormula>COUNTIF(PresençaemMaio[9],"U")+COUNTIF(PresençaemMaio[9],"E")</totalsRowFormula>
    </tableColumn>
    <tableColumn id="11" xr3:uid="{00000000-0010-0000-0A00-00000B000000}" name="10" totalsRowFunction="custom" dataDxfId="298" totalsRowDxfId="297" dataCellStyle="Total" totalsRowCellStyle="Total">
      <totalsRowFormula>COUNTIF(PresençaemMaio[10],"U")+COUNTIF(PresençaemMaio[10],"E")</totalsRowFormula>
    </tableColumn>
    <tableColumn id="12" xr3:uid="{00000000-0010-0000-0A00-00000C000000}" name="11" totalsRowFunction="custom" dataDxfId="296" totalsRowDxfId="295" dataCellStyle="Total" totalsRowCellStyle="Total">
      <totalsRowFormula>COUNTIF(PresençaemMaio[11],"U")+COUNTIF(PresençaemMaio[11],"E")</totalsRowFormula>
    </tableColumn>
    <tableColumn id="13" xr3:uid="{00000000-0010-0000-0A00-00000D000000}" name="12" totalsRowFunction="custom" dataDxfId="294" totalsRowDxfId="293" dataCellStyle="Total" totalsRowCellStyle="Total">
      <totalsRowFormula>COUNTIF(PresençaemMaio[12],"U")+COUNTIF(PresençaemMaio[12],"E")</totalsRowFormula>
    </tableColumn>
    <tableColumn id="14" xr3:uid="{00000000-0010-0000-0A00-00000E000000}" name="13" totalsRowFunction="custom" dataDxfId="292" totalsRowDxfId="291" dataCellStyle="Total" totalsRowCellStyle="Total">
      <totalsRowFormula>COUNTIF(PresençaemMaio[13],"U")+COUNTIF(PresençaemMaio[13],"E")</totalsRowFormula>
    </tableColumn>
    <tableColumn id="15" xr3:uid="{00000000-0010-0000-0A00-00000F000000}" name="14" totalsRowFunction="custom" dataDxfId="290" totalsRowDxfId="289" dataCellStyle="Total" totalsRowCellStyle="Total">
      <totalsRowFormula>COUNTIF(PresençaemMaio[14],"U")+COUNTIF(PresençaemMaio[14],"E")</totalsRowFormula>
    </tableColumn>
    <tableColumn id="16" xr3:uid="{00000000-0010-0000-0A00-000010000000}" name="15" totalsRowFunction="custom" dataDxfId="288" totalsRowDxfId="287" dataCellStyle="Total" totalsRowCellStyle="Total">
      <totalsRowFormula>COUNTIF(PresençaemMaio[15],"U")+COUNTIF(PresençaemMaio[15],"E")</totalsRowFormula>
    </tableColumn>
    <tableColumn id="17" xr3:uid="{00000000-0010-0000-0A00-000011000000}" name="16" totalsRowFunction="custom" dataDxfId="286" totalsRowDxfId="285" dataCellStyle="Total" totalsRowCellStyle="Total">
      <totalsRowFormula>COUNTIF(PresençaemMaio[16],"U")+COUNTIF(PresençaemMaio[16],"E")</totalsRowFormula>
    </tableColumn>
    <tableColumn id="18" xr3:uid="{00000000-0010-0000-0A00-000012000000}" name="17" totalsRowFunction="custom" dataDxfId="284" totalsRowDxfId="283" dataCellStyle="Total" totalsRowCellStyle="Total">
      <totalsRowFormula>COUNTIF(PresençaemMaio[17],"U")+COUNTIF(PresençaemMaio[17],"E")</totalsRowFormula>
    </tableColumn>
    <tableColumn id="19" xr3:uid="{00000000-0010-0000-0A00-000013000000}" name="18" totalsRowFunction="custom" dataDxfId="282" totalsRowDxfId="281" dataCellStyle="Total" totalsRowCellStyle="Total">
      <totalsRowFormula>COUNTIF(PresençaemMaio[18],"U")+COUNTIF(PresençaemMaio[18],"E")</totalsRowFormula>
    </tableColumn>
    <tableColumn id="20" xr3:uid="{00000000-0010-0000-0A00-000014000000}" name="19" totalsRowFunction="custom" dataDxfId="280" totalsRowDxfId="279" dataCellStyle="Total" totalsRowCellStyle="Total">
      <totalsRowFormula>COUNTIF(PresençaemMaio[19],"U")+COUNTIF(PresençaemMaio[19],"E")</totalsRowFormula>
    </tableColumn>
    <tableColumn id="21" xr3:uid="{00000000-0010-0000-0A00-000015000000}" name="20" totalsRowFunction="custom" dataDxfId="278" totalsRowDxfId="277" dataCellStyle="Total" totalsRowCellStyle="Total">
      <totalsRowFormula>COUNTIF(PresençaemMaio[20],"U")+COUNTIF(PresençaemMaio[20],"E")</totalsRowFormula>
    </tableColumn>
    <tableColumn id="22" xr3:uid="{00000000-0010-0000-0A00-000016000000}" name="21" totalsRowFunction="custom" dataDxfId="276" totalsRowDxfId="275" dataCellStyle="Total" totalsRowCellStyle="Total">
      <totalsRowFormula>COUNTIF(PresençaemMaio[21],"U")+COUNTIF(PresençaemMaio[21],"E")</totalsRowFormula>
    </tableColumn>
    <tableColumn id="23" xr3:uid="{00000000-0010-0000-0A00-000017000000}" name="22" totalsRowFunction="custom" dataDxfId="274" totalsRowDxfId="273" dataCellStyle="Total" totalsRowCellStyle="Total">
      <totalsRowFormula>COUNTIF(PresençaemMaio[22],"U")+COUNTIF(PresençaemMaio[22],"E")</totalsRowFormula>
    </tableColumn>
    <tableColumn id="24" xr3:uid="{00000000-0010-0000-0A00-000018000000}" name="23" totalsRowFunction="custom" dataDxfId="272" totalsRowDxfId="271" dataCellStyle="Total" totalsRowCellStyle="Total">
      <totalsRowFormula>COUNTIF(PresençaemMaio[23],"U")+COUNTIF(PresençaemMaio[23],"E")</totalsRowFormula>
    </tableColumn>
    <tableColumn id="25" xr3:uid="{00000000-0010-0000-0A00-000019000000}" name="24" totalsRowFunction="custom" dataDxfId="270" totalsRowDxfId="269" dataCellStyle="Total" totalsRowCellStyle="Total">
      <totalsRowFormula>COUNTIF(PresençaemMaio[24],"U")+COUNTIF(PresençaemMaio[24],"E")</totalsRowFormula>
    </tableColumn>
    <tableColumn id="26" xr3:uid="{00000000-0010-0000-0A00-00001A000000}" name="25" totalsRowFunction="custom" dataDxfId="268" totalsRowDxfId="267" dataCellStyle="Total" totalsRowCellStyle="Total">
      <totalsRowFormula>COUNTIF(PresençaemMaio[25],"U")+COUNTIF(PresençaemMaio[25],"E")</totalsRowFormula>
    </tableColumn>
    <tableColumn id="27" xr3:uid="{00000000-0010-0000-0A00-00001B000000}" name="26" totalsRowFunction="custom" dataDxfId="266" totalsRowDxfId="265" dataCellStyle="Total" totalsRowCellStyle="Total">
      <totalsRowFormula>COUNTIF(PresençaemMaio[26],"U")+COUNTIF(PresençaemMaio[26],"E")</totalsRowFormula>
    </tableColumn>
    <tableColumn id="28" xr3:uid="{00000000-0010-0000-0A00-00001C000000}" name="27" totalsRowFunction="custom" dataDxfId="264" totalsRowDxfId="263" dataCellStyle="Total" totalsRowCellStyle="Total">
      <totalsRowFormula>COUNTIF(PresençaemMaio[27],"U")+COUNTIF(PresençaemMaio[27],"E")</totalsRowFormula>
    </tableColumn>
    <tableColumn id="29" xr3:uid="{00000000-0010-0000-0A00-00001D000000}" name="28" totalsRowFunction="custom" dataDxfId="262" totalsRowDxfId="261" dataCellStyle="Total" totalsRowCellStyle="Total">
      <totalsRowFormula>COUNTIF(PresençaemMaio[28],"U")+COUNTIF(PresençaemMaio[28],"E")</totalsRowFormula>
    </tableColumn>
    <tableColumn id="30" xr3:uid="{00000000-0010-0000-0A00-00001E000000}" name="29" totalsRowFunction="custom" dataDxfId="260" totalsRowDxfId="259" dataCellStyle="Total" totalsRowCellStyle="Total">
      <totalsRowFormula>COUNTIF(PresençaemMaio[29],"U")+COUNTIF(PresençaemMaio[29],"E")</totalsRowFormula>
    </tableColumn>
    <tableColumn id="31" xr3:uid="{00000000-0010-0000-0A00-00001F000000}" name="30" dataDxfId="258" totalsRowDxfId="257" dataCellStyle="Total" totalsRowCellStyle="Total"/>
    <tableColumn id="32" xr3:uid="{00000000-0010-0000-0A00-000020000000}" name="31" dataDxfId="256" totalsRowDxfId="255" dataCellStyle="Total" totalsRowCellStyle="Total"/>
    <tableColumn id="35" xr3:uid="{00000000-0010-0000-0A00-000023000000}" name="T" totalsRowFunction="sum" dataDxfId="254" totalsRowDxfId="253" dataCellStyle="Total" totalsRowCellStyle="Total">
      <calculatedColumnFormula>COUNTIF(PresençaemMaio[[#This Row],[1]:[31]],Código1)</calculatedColumnFormula>
    </tableColumn>
    <tableColumn id="34" xr3:uid="{00000000-0010-0000-0A00-000022000000}" name="E" totalsRowFunction="sum" dataDxfId="252" totalsRowDxfId="251" dataCellStyle="Total" totalsRowCellStyle="Total">
      <calculatedColumnFormula>COUNTIF(PresençaemMaio[[#This Row],[1]:[31]],Código2)</calculatedColumnFormula>
    </tableColumn>
    <tableColumn id="37" xr3:uid="{00000000-0010-0000-0A00-000025000000}" name="U" totalsRowFunction="sum" dataDxfId="250" totalsRowDxfId="249" dataCellStyle="Total" totalsRowCellStyle="Total">
      <calculatedColumnFormula>COUNTIF(PresençaemMaio[[#This Row],[1]:[31]],Código3)</calculatedColumnFormula>
    </tableColumn>
    <tableColumn id="36" xr3:uid="{00000000-0010-0000-0A00-000024000000}" name="P" totalsRowFunction="sum" dataDxfId="248" totalsRowDxfId="247" dataCellStyle="Total" totalsRowCellStyle="Total">
      <calculatedColumnFormula>COUNTIF(PresençaemMaio[[#This Row],[1]:[31]],Código4)</calculatedColumnFormula>
    </tableColumn>
    <tableColumn id="33" xr3:uid="{00000000-0010-0000-0A00-000021000000}" name="Dias de Ausência" totalsRowFunction="sum" dataDxfId="246" totalsRowDxfId="245" dataCellStyle="Total" totalsRowCellStyle="Total">
      <calculatedColumnFormula>SUM(PresençaemMaio[[#This Row],[E]:[U]])</calculatedColumnFormula>
    </tableColumn>
  </tableColumns>
  <tableStyleInfo name="Employee Absence Table" showFirstColumn="0" showLastColumn="0" showRowStripes="1" showColumnStripes="1"/>
  <extLst>
    <ext xmlns:x14="http://schemas.microsoft.com/office/spreadsheetml/2009/9/main" uri="{504A1905-F514-4f6f-8877-14C23A59335A}">
      <x14:table altText="Registro de Presença em Fevereiro" altTextSummary="Controla a presença do aluno, como T=Atrasado, E=Dispensado, U=Não Dispensado, P=Presente, N=Sem Aula no mês de maio.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PresençaemJunho" displayName="PresençaemJunho" ref="B6:AM12" totalsRowCount="1" totalsRowDxfId="244" headerRowCellStyle="Total" dataCellStyle="Total" totalsRowCellStyle="Total">
  <tableColumns count="38">
    <tableColumn id="38" xr3:uid="{00000000-0010-0000-0B00-000026000000}" name="ID do Aluno" dataDxfId="243" totalsRowDxfId="242" dataCellStyle="Total" totalsRowCellStyle="Total"/>
    <tableColumn id="1" xr3:uid="{00000000-0010-0000-0B00-000001000000}" name="Nome do Aluno" totalsRowLabel="Total de dias de ausência" dataDxfId="241" totalsRowDxfId="240" dataCellStyle="Total" totalsRowCellStyle="Total"/>
    <tableColumn id="2" xr3:uid="{00000000-0010-0000-0B00-000002000000}" name="1" totalsRowFunction="custom" dataDxfId="239" totalsRowDxfId="238" dataCellStyle="Total" totalsRowCellStyle="Total">
      <totalsRowFormula>COUNTIF(PresençaemJunho[1],"U")+COUNTIF(PresençaemJunho[1],"E")</totalsRowFormula>
    </tableColumn>
    <tableColumn id="3" xr3:uid="{00000000-0010-0000-0B00-000003000000}" name="2" totalsRowFunction="custom" dataDxfId="237" totalsRowDxfId="236" dataCellStyle="Total" totalsRowCellStyle="Total">
      <totalsRowFormula>COUNTIF(PresençaemJunho[2],"U")+COUNTIF(PresençaemJunho[2],"E")</totalsRowFormula>
    </tableColumn>
    <tableColumn id="4" xr3:uid="{00000000-0010-0000-0B00-000004000000}" name="3" totalsRowFunction="custom" dataDxfId="235" totalsRowDxfId="234" dataCellStyle="Total" totalsRowCellStyle="Total">
      <totalsRowFormula>COUNTIF(PresençaemJunho[3],"U")+COUNTIF(PresençaemJunho[3],"E")</totalsRowFormula>
    </tableColumn>
    <tableColumn id="5" xr3:uid="{00000000-0010-0000-0B00-000005000000}" name="4" totalsRowFunction="custom" dataDxfId="233" totalsRowDxfId="232" dataCellStyle="Total" totalsRowCellStyle="Total">
      <totalsRowFormula>COUNTIF(PresençaemJunho[4],"U")+COUNTIF(PresençaemJunho[4],"E")</totalsRowFormula>
    </tableColumn>
    <tableColumn id="6" xr3:uid="{00000000-0010-0000-0B00-000006000000}" name="5" totalsRowFunction="custom" dataDxfId="231" totalsRowDxfId="230" dataCellStyle="Total" totalsRowCellStyle="Total">
      <totalsRowFormula>COUNTIF(PresençaemJunho[5],"U")+COUNTIF(PresençaemJunho[5],"E")</totalsRowFormula>
    </tableColumn>
    <tableColumn id="7" xr3:uid="{00000000-0010-0000-0B00-000007000000}" name="6" totalsRowFunction="custom" dataDxfId="229" totalsRowDxfId="228" dataCellStyle="Total" totalsRowCellStyle="Total">
      <totalsRowFormula>COUNTIF(PresençaemJunho[6],"U")+COUNTIF(PresençaemJunho[6],"E")</totalsRowFormula>
    </tableColumn>
    <tableColumn id="8" xr3:uid="{00000000-0010-0000-0B00-000008000000}" name="7" totalsRowFunction="custom" dataDxfId="227" totalsRowDxfId="226" dataCellStyle="Total" totalsRowCellStyle="Total">
      <totalsRowFormula>COUNTIF(PresençaemJunho[7],"U")+COUNTIF(PresençaemJunho[7],"E")</totalsRowFormula>
    </tableColumn>
    <tableColumn id="9" xr3:uid="{00000000-0010-0000-0B00-000009000000}" name="8" totalsRowFunction="custom" dataDxfId="225" totalsRowDxfId="224" dataCellStyle="Total" totalsRowCellStyle="Total">
      <totalsRowFormula>COUNTIF(PresençaemJunho[8],"U")+COUNTIF(PresençaemJunho[8],"E")</totalsRowFormula>
    </tableColumn>
    <tableColumn id="10" xr3:uid="{00000000-0010-0000-0B00-00000A000000}" name="9" totalsRowFunction="custom" dataDxfId="223" totalsRowDxfId="222" dataCellStyle="Total" totalsRowCellStyle="Total">
      <totalsRowFormula>COUNTIF(PresençaemJunho[9],"U")+COUNTIF(PresençaemJunho[9],"E")</totalsRowFormula>
    </tableColumn>
    <tableColumn id="11" xr3:uid="{00000000-0010-0000-0B00-00000B000000}" name="10" totalsRowFunction="custom" dataDxfId="221" totalsRowDxfId="220" dataCellStyle="Total" totalsRowCellStyle="Total">
      <totalsRowFormula>COUNTIF(PresençaemJunho[10],"U")+COUNTIF(PresençaemJunho[10],"E")</totalsRowFormula>
    </tableColumn>
    <tableColumn id="12" xr3:uid="{00000000-0010-0000-0B00-00000C000000}" name="11" totalsRowFunction="custom" dataDxfId="219" totalsRowDxfId="218" dataCellStyle="Total" totalsRowCellStyle="Total">
      <totalsRowFormula>COUNTIF(PresençaemJunho[11],"U")+COUNTIF(PresençaemJunho[11],"E")</totalsRowFormula>
    </tableColumn>
    <tableColumn id="13" xr3:uid="{00000000-0010-0000-0B00-00000D000000}" name="12" totalsRowFunction="custom" dataDxfId="217" totalsRowDxfId="216" dataCellStyle="Total" totalsRowCellStyle="Total">
      <totalsRowFormula>COUNTIF(PresençaemJunho[12],"U")+COUNTIF(PresençaemJunho[12],"E")</totalsRowFormula>
    </tableColumn>
    <tableColumn id="14" xr3:uid="{00000000-0010-0000-0B00-00000E000000}" name="13" totalsRowFunction="custom" dataDxfId="215" totalsRowDxfId="214" dataCellStyle="Total" totalsRowCellStyle="Total">
      <totalsRowFormula>COUNTIF(PresençaemJunho[13],"U")+COUNTIF(PresençaemJunho[13],"E")</totalsRowFormula>
    </tableColumn>
    <tableColumn id="15" xr3:uid="{00000000-0010-0000-0B00-00000F000000}" name="14" totalsRowFunction="custom" dataDxfId="213" totalsRowDxfId="212" dataCellStyle="Total" totalsRowCellStyle="Total">
      <totalsRowFormula>COUNTIF(PresençaemJunho[14],"U")+COUNTIF(PresençaemJunho[14],"E")</totalsRowFormula>
    </tableColumn>
    <tableColumn id="16" xr3:uid="{00000000-0010-0000-0B00-000010000000}" name="15" totalsRowFunction="custom" dataDxfId="211" totalsRowDxfId="210" dataCellStyle="Total" totalsRowCellStyle="Total">
      <totalsRowFormula>COUNTIF(PresençaemJunho[15],"U")+COUNTIF(PresençaemJunho[15],"E")</totalsRowFormula>
    </tableColumn>
    <tableColumn id="17" xr3:uid="{00000000-0010-0000-0B00-000011000000}" name="16" totalsRowFunction="custom" dataDxfId="209" totalsRowDxfId="208" dataCellStyle="Total" totalsRowCellStyle="Total">
      <totalsRowFormula>COUNTIF(PresençaemJunho[16],"U")+COUNTIF(PresençaemJunho[16],"E")</totalsRowFormula>
    </tableColumn>
    <tableColumn id="18" xr3:uid="{00000000-0010-0000-0B00-000012000000}" name="17" totalsRowFunction="custom" dataDxfId="207" totalsRowDxfId="206" dataCellStyle="Total" totalsRowCellStyle="Total">
      <totalsRowFormula>COUNTIF(PresençaemJunho[17],"U")+COUNTIF(PresençaemJunho[17],"E")</totalsRowFormula>
    </tableColumn>
    <tableColumn id="19" xr3:uid="{00000000-0010-0000-0B00-000013000000}" name="18" totalsRowFunction="custom" dataDxfId="205" totalsRowDxfId="204" dataCellStyle="Total" totalsRowCellStyle="Total">
      <totalsRowFormula>COUNTIF(PresençaemJunho[18],"U")+COUNTIF(PresençaemJunho[18],"E")</totalsRowFormula>
    </tableColumn>
    <tableColumn id="20" xr3:uid="{00000000-0010-0000-0B00-000014000000}" name="19" totalsRowFunction="custom" dataDxfId="203" totalsRowDxfId="202" dataCellStyle="Total" totalsRowCellStyle="Total">
      <totalsRowFormula>COUNTIF(PresençaemJunho[19],"U")+COUNTIF(PresençaemJunho[19],"E")</totalsRowFormula>
    </tableColumn>
    <tableColumn id="21" xr3:uid="{00000000-0010-0000-0B00-000015000000}" name="20" totalsRowFunction="custom" dataDxfId="201" totalsRowDxfId="200" dataCellStyle="Total" totalsRowCellStyle="Total">
      <totalsRowFormula>COUNTIF(PresençaemJunho[20],"U")+COUNTIF(PresençaemJunho[20],"E")</totalsRowFormula>
    </tableColumn>
    <tableColumn id="22" xr3:uid="{00000000-0010-0000-0B00-000016000000}" name="21" totalsRowFunction="custom" dataDxfId="199" totalsRowDxfId="198" dataCellStyle="Total" totalsRowCellStyle="Total">
      <totalsRowFormula>COUNTIF(PresençaemJunho[21],"U")+COUNTIF(PresençaemJunho[21],"E")</totalsRowFormula>
    </tableColumn>
    <tableColumn id="23" xr3:uid="{00000000-0010-0000-0B00-000017000000}" name="22" totalsRowFunction="custom" dataDxfId="197" totalsRowDxfId="196" dataCellStyle="Total" totalsRowCellStyle="Total">
      <totalsRowFormula>COUNTIF(PresençaemJunho[22],"U")+COUNTIF(PresençaemJunho[22],"E")</totalsRowFormula>
    </tableColumn>
    <tableColumn id="24" xr3:uid="{00000000-0010-0000-0B00-000018000000}" name="23" totalsRowFunction="custom" dataDxfId="195" totalsRowDxfId="194" dataCellStyle="Total" totalsRowCellStyle="Total">
      <totalsRowFormula>COUNTIF(PresençaemJunho[23],"U")+COUNTIF(PresençaemJunho[23],"E")</totalsRowFormula>
    </tableColumn>
    <tableColumn id="25" xr3:uid="{00000000-0010-0000-0B00-000019000000}" name="24" totalsRowFunction="custom" dataDxfId="193" totalsRowDxfId="192" dataCellStyle="Total" totalsRowCellStyle="Total">
      <totalsRowFormula>COUNTIF(PresençaemJunho[24],"U")+COUNTIF(PresençaemJunho[24],"E")</totalsRowFormula>
    </tableColumn>
    <tableColumn id="26" xr3:uid="{00000000-0010-0000-0B00-00001A000000}" name="25" totalsRowFunction="custom" dataDxfId="191" totalsRowDxfId="190" dataCellStyle="Total" totalsRowCellStyle="Total">
      <totalsRowFormula>COUNTIF(PresençaemJunho[25],"U")+COUNTIF(PresençaemJunho[25],"E")</totalsRowFormula>
    </tableColumn>
    <tableColumn id="27" xr3:uid="{00000000-0010-0000-0B00-00001B000000}" name="26" totalsRowFunction="custom" dataDxfId="189" totalsRowDxfId="188" dataCellStyle="Total" totalsRowCellStyle="Total">
      <totalsRowFormula>COUNTIF(PresençaemJunho[26],"U")+COUNTIF(PresençaemJunho[26],"E")</totalsRowFormula>
    </tableColumn>
    <tableColumn id="28" xr3:uid="{00000000-0010-0000-0B00-00001C000000}" name="27" totalsRowFunction="custom" dataDxfId="187" totalsRowDxfId="186" dataCellStyle="Total" totalsRowCellStyle="Total">
      <totalsRowFormula>COUNTIF(PresençaemJunho[27],"U")+COUNTIF(PresençaemJunho[27],"E")</totalsRowFormula>
    </tableColumn>
    <tableColumn id="29" xr3:uid="{00000000-0010-0000-0B00-00001D000000}" name="28" totalsRowFunction="custom" dataDxfId="185" totalsRowDxfId="184" dataCellStyle="Total" totalsRowCellStyle="Total">
      <totalsRowFormula>COUNTIF(PresençaemJunho[28],"U")+COUNTIF(PresençaemJunho[28],"E")</totalsRowFormula>
    </tableColumn>
    <tableColumn id="30" xr3:uid="{00000000-0010-0000-0B00-00001E000000}" name="29" totalsRowFunction="custom" dataDxfId="183" totalsRowDxfId="182" dataCellStyle="Total" totalsRowCellStyle="Total">
      <totalsRowFormula>COUNTIF(PresençaemJunho[29],"U")+COUNTIF(PresençaemJunho[29],"E")</totalsRowFormula>
    </tableColumn>
    <tableColumn id="31" xr3:uid="{00000000-0010-0000-0B00-00001F000000}" name="30" dataDxfId="181" totalsRowDxfId="180" dataCellStyle="Total" totalsRowCellStyle="Total"/>
    <tableColumn id="32" xr3:uid="{00000000-0010-0000-0B00-000020000000}" name=" " dataDxfId="179" totalsRowDxfId="178" dataCellStyle="Total" totalsRowCellStyle="Total"/>
    <tableColumn id="35" xr3:uid="{00000000-0010-0000-0B00-000023000000}" name="T" totalsRowFunction="sum" dataDxfId="177" totalsRowDxfId="176" dataCellStyle="Total" totalsRowCellStyle="Total">
      <calculatedColumnFormula>COUNTIF(PresençaemJunho[[#This Row],[1]:[ ]],Código1)</calculatedColumnFormula>
    </tableColumn>
    <tableColumn id="34" xr3:uid="{00000000-0010-0000-0B00-000022000000}" name="E" totalsRowFunction="sum" dataDxfId="175" totalsRowDxfId="174" dataCellStyle="Total" totalsRowCellStyle="Total">
      <calculatedColumnFormula>COUNTIF(PresençaemJunho[[#This Row],[1]:[ ]],Código2)</calculatedColumnFormula>
    </tableColumn>
    <tableColumn id="37" xr3:uid="{00000000-0010-0000-0B00-000025000000}" name="U" totalsRowFunction="sum" dataDxfId="173" totalsRowDxfId="172" dataCellStyle="Total" totalsRowCellStyle="Total">
      <calculatedColumnFormula>COUNTIF(PresençaemJunho[[#This Row],[1]:[ ]],Código3)</calculatedColumnFormula>
    </tableColumn>
    <tableColumn id="36" xr3:uid="{00000000-0010-0000-0B00-000024000000}" name="P" totalsRowFunction="sum" dataDxfId="171" totalsRowDxfId="170" dataCellStyle="Total" totalsRowCellStyle="Total">
      <calculatedColumnFormula>COUNTIF(PresençaemJunho[[#This Row],[1]:[ ]],Código4)</calculatedColumnFormula>
    </tableColumn>
    <tableColumn id="33" xr3:uid="{00000000-0010-0000-0B00-000021000000}" name="Dias de Ausência" totalsRowFunction="sum" dataDxfId="169" totalsRowDxfId="168" dataCellStyle="Total" totalsRowCellStyle="Total">
      <calculatedColumnFormula>SUM(PresençaemJunho[[#This Row],[E]:[U]])</calculatedColumnFormula>
    </tableColumn>
  </tableColumns>
  <tableStyleInfo name="Employee Absence Table" showFirstColumn="0" showLastColumn="0" showRowStripes="1" showColumnStripes="1"/>
  <extLst>
    <ext xmlns:x14="http://schemas.microsoft.com/office/spreadsheetml/2009/9/main" uri="{504A1905-F514-4f6f-8877-14C23A59335A}">
      <x14:table altText="Registro de Presença em Fevereiro" altTextSummary="Controla a presença do aluno, como T=Atrasado, E=Dispensado, U=Não Dispensado, P=Presente, N=Sem Aula no mês de junho.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PresençaemJulho" displayName="PresençaemJulho" ref="B6:AM12" totalsRowCount="1" totalsRowDxfId="167" headerRowCellStyle="Total" dataCellStyle="Total" totalsRowCellStyle="Total">
  <tableColumns count="38">
    <tableColumn id="38" xr3:uid="{00000000-0010-0000-0C00-000026000000}" name="ID do Aluno" dataDxfId="166" totalsRowDxfId="165" dataCellStyle="Total" totalsRowCellStyle="Total"/>
    <tableColumn id="1" xr3:uid="{00000000-0010-0000-0C00-000001000000}" name="Nome do Aluno" totalsRowLabel="Total de dias de ausência" dataDxfId="164" totalsRowDxfId="163" dataCellStyle="Total" totalsRowCellStyle="Total"/>
    <tableColumn id="2" xr3:uid="{00000000-0010-0000-0C00-000002000000}" name="1" totalsRowFunction="custom" dataDxfId="162" totalsRowDxfId="161" dataCellStyle="Total" totalsRowCellStyle="Total">
      <totalsRowFormula>COUNTIF(PresençaemJulho[1],"U")+COUNTIF(PresençaemJulho[1],"E")</totalsRowFormula>
    </tableColumn>
    <tableColumn id="3" xr3:uid="{00000000-0010-0000-0C00-000003000000}" name="2" totalsRowFunction="custom" dataDxfId="160" totalsRowDxfId="159" dataCellStyle="Total" totalsRowCellStyle="Total">
      <totalsRowFormula>COUNTIF(PresençaemJulho[2],"U")+COUNTIF(PresençaemJulho[2],"E")</totalsRowFormula>
    </tableColumn>
    <tableColumn id="4" xr3:uid="{00000000-0010-0000-0C00-000004000000}" name="3" totalsRowFunction="custom" dataDxfId="158" totalsRowDxfId="157" dataCellStyle="Total" totalsRowCellStyle="Total">
      <totalsRowFormula>COUNTIF(PresençaemJulho[3],"U")+COUNTIF(PresençaemJulho[3],"E")</totalsRowFormula>
    </tableColumn>
    <tableColumn id="5" xr3:uid="{00000000-0010-0000-0C00-000005000000}" name="4" totalsRowFunction="custom" dataDxfId="156" totalsRowDxfId="155" dataCellStyle="Total" totalsRowCellStyle="Total">
      <totalsRowFormula>COUNTIF(PresençaemJulho[4],"U")+COUNTIF(PresençaemJulho[4],"E")</totalsRowFormula>
    </tableColumn>
    <tableColumn id="6" xr3:uid="{00000000-0010-0000-0C00-000006000000}" name="5" totalsRowFunction="custom" dataDxfId="154" totalsRowDxfId="153" dataCellStyle="Total" totalsRowCellStyle="Total">
      <totalsRowFormula>COUNTIF(PresençaemJulho[5],"U")+COUNTIF(PresençaemJulho[5],"E")</totalsRowFormula>
    </tableColumn>
    <tableColumn id="7" xr3:uid="{00000000-0010-0000-0C00-000007000000}" name="6" totalsRowFunction="custom" dataDxfId="152" totalsRowDxfId="151" dataCellStyle="Total" totalsRowCellStyle="Total">
      <totalsRowFormula>COUNTIF(PresençaemJulho[6],"U")+COUNTIF(PresençaemJulho[6],"E")</totalsRowFormula>
    </tableColumn>
    <tableColumn id="8" xr3:uid="{00000000-0010-0000-0C00-000008000000}" name="7" totalsRowFunction="custom" dataDxfId="150" totalsRowDxfId="149" dataCellStyle="Total" totalsRowCellStyle="Total">
      <totalsRowFormula>COUNTIF(PresençaemJulho[7],"U")+COUNTIF(PresençaemJulho[7],"E")</totalsRowFormula>
    </tableColumn>
    <tableColumn id="9" xr3:uid="{00000000-0010-0000-0C00-000009000000}" name="8" totalsRowFunction="custom" dataDxfId="148" totalsRowDxfId="147" dataCellStyle="Total" totalsRowCellStyle="Total">
      <totalsRowFormula>COUNTIF(PresençaemJulho[8],"U")+COUNTIF(PresençaemJulho[8],"E")</totalsRowFormula>
    </tableColumn>
    <tableColumn id="10" xr3:uid="{00000000-0010-0000-0C00-00000A000000}" name="9" totalsRowFunction="custom" dataDxfId="146" totalsRowDxfId="145" dataCellStyle="Total" totalsRowCellStyle="Total">
      <totalsRowFormula>COUNTIF(PresençaemJulho[9],"U")+COUNTIF(PresençaemJulho[9],"E")</totalsRowFormula>
    </tableColumn>
    <tableColumn id="11" xr3:uid="{00000000-0010-0000-0C00-00000B000000}" name="10" totalsRowFunction="custom" dataDxfId="144" totalsRowDxfId="143" dataCellStyle="Total" totalsRowCellStyle="Total">
      <totalsRowFormula>COUNTIF(PresençaemJulho[10],"U")+COUNTIF(PresençaemJulho[10],"E")</totalsRowFormula>
    </tableColumn>
    <tableColumn id="12" xr3:uid="{00000000-0010-0000-0C00-00000C000000}" name="11" totalsRowFunction="custom" dataDxfId="142" totalsRowDxfId="141" dataCellStyle="Total" totalsRowCellStyle="Total">
      <totalsRowFormula>COUNTIF(PresençaemJulho[11],"U")+COUNTIF(PresençaemJulho[11],"E")</totalsRowFormula>
    </tableColumn>
    <tableColumn id="13" xr3:uid="{00000000-0010-0000-0C00-00000D000000}" name="12" totalsRowFunction="custom" dataDxfId="140" totalsRowDxfId="139" dataCellStyle="Total" totalsRowCellStyle="Total">
      <totalsRowFormula>COUNTIF(PresençaemJulho[12],"U")+COUNTIF(PresençaemJulho[12],"E")</totalsRowFormula>
    </tableColumn>
    <tableColumn id="14" xr3:uid="{00000000-0010-0000-0C00-00000E000000}" name="13" totalsRowFunction="custom" dataDxfId="138" totalsRowDxfId="137" dataCellStyle="Total" totalsRowCellStyle="Total">
      <totalsRowFormula>COUNTIF(PresençaemJulho[13],"U")+COUNTIF(PresençaemJulho[13],"E")</totalsRowFormula>
    </tableColumn>
    <tableColumn id="15" xr3:uid="{00000000-0010-0000-0C00-00000F000000}" name="14" totalsRowFunction="custom" dataDxfId="136" totalsRowDxfId="135" dataCellStyle="Total" totalsRowCellStyle="Total">
      <totalsRowFormula>COUNTIF(PresençaemJulho[14],"U")+COUNTIF(PresençaemJulho[14],"E")</totalsRowFormula>
    </tableColumn>
    <tableColumn id="16" xr3:uid="{00000000-0010-0000-0C00-000010000000}" name="15" totalsRowFunction="custom" dataDxfId="134" totalsRowDxfId="133" dataCellStyle="Total" totalsRowCellStyle="Total">
      <totalsRowFormula>COUNTIF(PresençaemJulho[15],"U")+COUNTIF(PresençaemJulho[15],"E")</totalsRowFormula>
    </tableColumn>
    <tableColumn id="17" xr3:uid="{00000000-0010-0000-0C00-000011000000}" name="16" totalsRowFunction="custom" dataDxfId="132" totalsRowDxfId="131" dataCellStyle="Total" totalsRowCellStyle="Total">
      <totalsRowFormula>COUNTIF(PresençaemJulho[16],"U")+COUNTIF(PresençaemJulho[16],"E")</totalsRowFormula>
    </tableColumn>
    <tableColumn id="18" xr3:uid="{00000000-0010-0000-0C00-000012000000}" name="17" totalsRowFunction="custom" dataDxfId="130" totalsRowDxfId="129" dataCellStyle="Total" totalsRowCellStyle="Total">
      <totalsRowFormula>COUNTIF(PresençaemJulho[17],"U")+COUNTIF(PresençaemJulho[17],"E")</totalsRowFormula>
    </tableColumn>
    <tableColumn id="19" xr3:uid="{00000000-0010-0000-0C00-000013000000}" name="18" totalsRowFunction="custom" dataDxfId="128" totalsRowDxfId="127" dataCellStyle="Total" totalsRowCellStyle="Total">
      <totalsRowFormula>COUNTIF(PresençaemJulho[18],"U")+COUNTIF(PresençaemJulho[18],"E")</totalsRowFormula>
    </tableColumn>
    <tableColumn id="20" xr3:uid="{00000000-0010-0000-0C00-000014000000}" name="19" totalsRowFunction="custom" dataDxfId="126" totalsRowDxfId="125" dataCellStyle="Total" totalsRowCellStyle="Total">
      <totalsRowFormula>COUNTIF(PresençaemJulho[19],"U")+COUNTIF(PresençaemJulho[19],"E")</totalsRowFormula>
    </tableColumn>
    <tableColumn id="21" xr3:uid="{00000000-0010-0000-0C00-000015000000}" name="20" totalsRowFunction="custom" dataDxfId="124" totalsRowDxfId="123" dataCellStyle="Total" totalsRowCellStyle="Total">
      <totalsRowFormula>COUNTIF(PresençaemJulho[20],"U")+COUNTIF(PresençaemJulho[20],"E")</totalsRowFormula>
    </tableColumn>
    <tableColumn id="22" xr3:uid="{00000000-0010-0000-0C00-000016000000}" name="21" totalsRowFunction="custom" dataDxfId="122" totalsRowDxfId="121" dataCellStyle="Total" totalsRowCellStyle="Total">
      <totalsRowFormula>COUNTIF(PresençaemJulho[21],"U")+COUNTIF(PresençaemJulho[21],"E")</totalsRowFormula>
    </tableColumn>
    <tableColumn id="23" xr3:uid="{00000000-0010-0000-0C00-000017000000}" name="22" totalsRowFunction="custom" dataDxfId="120" totalsRowDxfId="119" dataCellStyle="Total" totalsRowCellStyle="Total">
      <totalsRowFormula>COUNTIF(PresençaemJulho[22],"U")+COUNTIF(PresençaemJulho[22],"E")</totalsRowFormula>
    </tableColumn>
    <tableColumn id="24" xr3:uid="{00000000-0010-0000-0C00-000018000000}" name="23" totalsRowFunction="custom" dataDxfId="118" totalsRowDxfId="117" dataCellStyle="Total" totalsRowCellStyle="Total">
      <totalsRowFormula>COUNTIF(PresençaemJulho[23],"U")+COUNTIF(PresençaemJulho[23],"E")</totalsRowFormula>
    </tableColumn>
    <tableColumn id="25" xr3:uid="{00000000-0010-0000-0C00-000019000000}" name="24" totalsRowFunction="custom" dataDxfId="116" totalsRowDxfId="115" dataCellStyle="Total" totalsRowCellStyle="Total">
      <totalsRowFormula>COUNTIF(PresençaemJulho[24],"U")+COUNTIF(PresençaemJulho[24],"E")</totalsRowFormula>
    </tableColumn>
    <tableColumn id="26" xr3:uid="{00000000-0010-0000-0C00-00001A000000}" name="25" totalsRowFunction="custom" dataDxfId="114" totalsRowDxfId="113" dataCellStyle="Total" totalsRowCellStyle="Total">
      <totalsRowFormula>COUNTIF(PresençaemJulho[25],"U")+COUNTIF(PresençaemJulho[25],"E")</totalsRowFormula>
    </tableColumn>
    <tableColumn id="27" xr3:uid="{00000000-0010-0000-0C00-00001B000000}" name="26" totalsRowFunction="custom" dataDxfId="112" totalsRowDxfId="111" dataCellStyle="Total" totalsRowCellStyle="Total">
      <totalsRowFormula>COUNTIF(PresençaemJulho[26],"U")+COUNTIF(PresençaemJulho[26],"E")</totalsRowFormula>
    </tableColumn>
    <tableColumn id="28" xr3:uid="{00000000-0010-0000-0C00-00001C000000}" name="27" totalsRowFunction="custom" dataDxfId="110" totalsRowDxfId="109" dataCellStyle="Total" totalsRowCellStyle="Total">
      <totalsRowFormula>COUNTIF(PresençaemJulho[27],"U")+COUNTIF(PresençaemJulho[27],"E")</totalsRowFormula>
    </tableColumn>
    <tableColumn id="29" xr3:uid="{00000000-0010-0000-0C00-00001D000000}" name="28" totalsRowFunction="custom" dataDxfId="108" totalsRowDxfId="107" dataCellStyle="Total" totalsRowCellStyle="Total">
      <totalsRowFormula>COUNTIF(PresençaemJulho[28],"U")+COUNTIF(PresençaemJulho[28],"E")</totalsRowFormula>
    </tableColumn>
    <tableColumn id="30" xr3:uid="{00000000-0010-0000-0C00-00001E000000}" name="29" totalsRowFunction="custom" dataDxfId="106" totalsRowDxfId="105" dataCellStyle="Total" totalsRowCellStyle="Total">
      <totalsRowFormula>COUNTIF(PresençaemJulho[29],"U")+COUNTIF(PresençaemJulho[29],"E")</totalsRowFormula>
    </tableColumn>
    <tableColumn id="31" xr3:uid="{00000000-0010-0000-0C00-00001F000000}" name="30" dataDxfId="104" totalsRowDxfId="103" dataCellStyle="Total" totalsRowCellStyle="Total"/>
    <tableColumn id="32" xr3:uid="{00000000-0010-0000-0C00-000020000000}" name="31" dataDxfId="102" totalsRowDxfId="101" dataCellStyle="Total" totalsRowCellStyle="Total"/>
    <tableColumn id="35" xr3:uid="{00000000-0010-0000-0C00-000023000000}" name="T" totalsRowFunction="sum" dataDxfId="100" totalsRowDxfId="99" dataCellStyle="Total" totalsRowCellStyle="Total">
      <calculatedColumnFormula>COUNTIF(PresençaemJulho[[#This Row],[1]:[31]],Código1)</calculatedColumnFormula>
    </tableColumn>
    <tableColumn id="34" xr3:uid="{00000000-0010-0000-0C00-000022000000}" name="E" totalsRowFunction="sum" dataDxfId="98" totalsRowDxfId="97" dataCellStyle="Total" totalsRowCellStyle="Total">
      <calculatedColumnFormula>COUNTIF(PresençaemJulho[[#This Row],[1]:[31]],Código2)</calculatedColumnFormula>
    </tableColumn>
    <tableColumn id="37" xr3:uid="{00000000-0010-0000-0C00-000025000000}" name="U" totalsRowFunction="sum" dataDxfId="96" totalsRowDxfId="95" dataCellStyle="Total" totalsRowCellStyle="Total">
      <calculatedColumnFormula>COUNTIF(PresençaemJulho[[#This Row],[1]:[31]],Código3)</calculatedColumnFormula>
    </tableColumn>
    <tableColumn id="36" xr3:uid="{00000000-0010-0000-0C00-000024000000}" name="P" totalsRowFunction="sum" dataDxfId="94" totalsRowDxfId="93" dataCellStyle="Total" totalsRowCellStyle="Total">
      <calculatedColumnFormula>COUNTIF(PresençaemJulho[[#This Row],[1]:[31]],Código4)</calculatedColumnFormula>
    </tableColumn>
    <tableColumn id="33" xr3:uid="{00000000-0010-0000-0C00-000021000000}" name="Dias de Ausência" totalsRowFunction="sum" dataDxfId="92" totalsRowDxfId="91" dataCellStyle="Total" totalsRowCellStyle="Total">
      <calculatedColumnFormula>SUM(PresençaemJulho[[#This Row],[E]:[U]])</calculatedColumnFormula>
    </tableColumn>
  </tableColumns>
  <tableStyleInfo name="Employee Absence Table" showFirstColumn="0" showLastColumn="0" showRowStripes="1" showColumnStripes="1"/>
  <extLst>
    <ext xmlns:x14="http://schemas.microsoft.com/office/spreadsheetml/2009/9/main" uri="{504A1905-F514-4f6f-8877-14C23A59335A}">
      <x14:table altText="Registro de Presença em Fevereiro" altTextSummary="Controla a presença do aluno, como T=Atrasado, E=Dispensado, U=Não Dispensado, P=Presente, N=Sem Aula no mês de julho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PresençaemAgosto" displayName="PresençaemAgosto" ref="B6:AM12" totalsRowCount="1" totalsRowDxfId="964" headerRowCellStyle="Total" dataCellStyle="Total" totalsRowCellStyle="Total">
  <tableColumns count="38">
    <tableColumn id="38" xr3:uid="{00000000-0010-0000-0100-000026000000}" name="ID do Aluno" totalsRowDxfId="963" dataCellStyle="Total" totalsRowCellStyle="Total"/>
    <tableColumn id="1" xr3:uid="{00000000-0010-0000-0100-000001000000}" name="Nome do Aluno" totalsRowLabel="Total de dias de ausência" totalsRowDxfId="962" dataCellStyle="Total" totalsRowCellStyle="Total"/>
    <tableColumn id="2" xr3:uid="{00000000-0010-0000-0100-000002000000}" name="1" totalsRowFunction="custom" totalsRowDxfId="961" dataCellStyle="Total" totalsRowCellStyle="Total">
      <totalsRowFormula>COUNTIF(PresençaemAgosto[1],"U")+COUNTIF(PresençaemAgosto[1],"E")</totalsRowFormula>
    </tableColumn>
    <tableColumn id="3" xr3:uid="{00000000-0010-0000-0100-000003000000}" name="2" totalsRowFunction="custom" totalsRowDxfId="960" dataCellStyle="Total" totalsRowCellStyle="Total">
      <totalsRowFormula>COUNTIF(PresençaemAgosto[2],"U")+COUNTIF(PresençaemAgosto[2],"E")</totalsRowFormula>
    </tableColumn>
    <tableColumn id="4" xr3:uid="{00000000-0010-0000-0100-000004000000}" name="3" totalsRowFunction="custom" totalsRowDxfId="959" dataCellStyle="Total" totalsRowCellStyle="Total">
      <totalsRowFormula>COUNTIF(PresençaemAgosto[3],"U")+COUNTIF(PresençaemAgosto[3],"E")</totalsRowFormula>
    </tableColumn>
    <tableColumn id="5" xr3:uid="{00000000-0010-0000-0100-000005000000}" name="4" totalsRowFunction="custom" totalsRowDxfId="958" dataCellStyle="Total" totalsRowCellStyle="Total">
      <totalsRowFormula>COUNTIF(PresençaemAgosto[4],"U")+COUNTIF(PresençaemAgosto[4],"E")</totalsRowFormula>
    </tableColumn>
    <tableColumn id="6" xr3:uid="{00000000-0010-0000-0100-000006000000}" name="5" totalsRowFunction="custom" totalsRowDxfId="957" dataCellStyle="Total" totalsRowCellStyle="Total">
      <totalsRowFormula>COUNTIF(PresençaemAgosto[5],"U")+COUNTIF(PresençaemAgosto[5],"E")</totalsRowFormula>
    </tableColumn>
    <tableColumn id="7" xr3:uid="{00000000-0010-0000-0100-000007000000}" name="6" totalsRowFunction="custom" totalsRowDxfId="956" dataCellStyle="Total" totalsRowCellStyle="Total">
      <totalsRowFormula>COUNTIF(PresençaemAgosto[6],"U")+COUNTIF(PresençaemAgosto[6],"E")</totalsRowFormula>
    </tableColumn>
    <tableColumn id="8" xr3:uid="{00000000-0010-0000-0100-000008000000}" name="7" totalsRowFunction="custom" totalsRowDxfId="955" dataCellStyle="Total" totalsRowCellStyle="Total">
      <totalsRowFormula>COUNTIF(PresençaemAgosto[7],"U")+COUNTIF(PresençaemAgosto[7],"E")</totalsRowFormula>
    </tableColumn>
    <tableColumn id="9" xr3:uid="{00000000-0010-0000-0100-000009000000}" name="8" totalsRowFunction="custom" totalsRowDxfId="954" dataCellStyle="Total" totalsRowCellStyle="Total">
      <totalsRowFormula>COUNTIF(PresençaemAgosto[8],"U")+COUNTIF(PresençaemAgosto[8],"E")</totalsRowFormula>
    </tableColumn>
    <tableColumn id="10" xr3:uid="{00000000-0010-0000-0100-00000A000000}" name="9" totalsRowFunction="custom" totalsRowDxfId="953" dataCellStyle="Total" totalsRowCellStyle="Total">
      <totalsRowFormula>COUNTIF(PresençaemAgosto[9],"U")+COUNTIF(PresençaemAgosto[9],"E")</totalsRowFormula>
    </tableColumn>
    <tableColumn id="11" xr3:uid="{00000000-0010-0000-0100-00000B000000}" name="10" totalsRowFunction="custom" totalsRowDxfId="952" dataCellStyle="Total" totalsRowCellStyle="Total">
      <totalsRowFormula>COUNTIF(PresençaemAgosto[10],"U")+COUNTIF(PresençaemAgosto[10],"E")</totalsRowFormula>
    </tableColumn>
    <tableColumn id="12" xr3:uid="{00000000-0010-0000-0100-00000C000000}" name="11" totalsRowFunction="custom" totalsRowDxfId="951" dataCellStyle="Total" totalsRowCellStyle="Total">
      <totalsRowFormula>COUNTIF(PresençaemAgosto[11],"U")+COUNTIF(PresençaemAgosto[11],"E")</totalsRowFormula>
    </tableColumn>
    <tableColumn id="13" xr3:uid="{00000000-0010-0000-0100-00000D000000}" name="12" totalsRowFunction="custom" totalsRowDxfId="950" dataCellStyle="Total" totalsRowCellStyle="Total">
      <totalsRowFormula>COUNTIF(PresençaemAgosto[12],"U")+COUNTIF(PresençaemAgosto[12],"E")</totalsRowFormula>
    </tableColumn>
    <tableColumn id="14" xr3:uid="{00000000-0010-0000-0100-00000E000000}" name="13" totalsRowFunction="custom" totalsRowDxfId="949" dataCellStyle="Total" totalsRowCellStyle="Total">
      <totalsRowFormula>COUNTIF(PresençaemAgosto[13],"U")+COUNTIF(PresençaemAgosto[13],"E")</totalsRowFormula>
    </tableColumn>
    <tableColumn id="15" xr3:uid="{00000000-0010-0000-0100-00000F000000}" name="14" totalsRowFunction="custom" totalsRowDxfId="948" dataCellStyle="Total" totalsRowCellStyle="Total">
      <totalsRowFormula>COUNTIF(PresençaemAgosto[14],"U")+COUNTIF(PresençaemAgosto[14],"E")</totalsRowFormula>
    </tableColumn>
    <tableColumn id="16" xr3:uid="{00000000-0010-0000-0100-000010000000}" name="15" totalsRowFunction="custom" totalsRowDxfId="947" dataCellStyle="Total" totalsRowCellStyle="Total">
      <totalsRowFormula>COUNTIF(PresençaemAgosto[15],"U")+COUNTIF(PresençaemAgosto[15],"E")</totalsRowFormula>
    </tableColumn>
    <tableColumn id="17" xr3:uid="{00000000-0010-0000-0100-000011000000}" name="16" totalsRowFunction="custom" totalsRowDxfId="946" dataCellStyle="Total" totalsRowCellStyle="Total">
      <totalsRowFormula>COUNTIF(PresençaemAgosto[16],"U")+COUNTIF(PresençaemAgosto[16],"E")</totalsRowFormula>
    </tableColumn>
    <tableColumn id="18" xr3:uid="{00000000-0010-0000-0100-000012000000}" name="17" totalsRowFunction="custom" totalsRowDxfId="945" dataCellStyle="Total" totalsRowCellStyle="Total">
      <totalsRowFormula>COUNTIF(PresençaemAgosto[17],"U")+COUNTIF(PresençaemAgosto[17],"E")</totalsRowFormula>
    </tableColumn>
    <tableColumn id="19" xr3:uid="{00000000-0010-0000-0100-000013000000}" name="18" totalsRowFunction="custom" totalsRowDxfId="944" dataCellStyle="Total" totalsRowCellStyle="Total">
      <totalsRowFormula>COUNTIF(PresençaemAgosto[18],"U")+COUNTIF(PresençaemAgosto[18],"E")</totalsRowFormula>
    </tableColumn>
    <tableColumn id="20" xr3:uid="{00000000-0010-0000-0100-000014000000}" name="19" totalsRowFunction="custom" totalsRowDxfId="943" dataCellStyle="Total" totalsRowCellStyle="Total">
      <totalsRowFormula>COUNTIF(PresençaemAgosto[19],"U")+COUNTIF(PresençaemAgosto[19],"E")</totalsRowFormula>
    </tableColumn>
    <tableColumn id="21" xr3:uid="{00000000-0010-0000-0100-000015000000}" name="20" totalsRowFunction="custom" totalsRowDxfId="942" dataCellStyle="Total" totalsRowCellStyle="Total">
      <totalsRowFormula>COUNTIF(PresençaemAgosto[20],"U")+COUNTIF(PresençaemAgosto[20],"E")</totalsRowFormula>
    </tableColumn>
    <tableColumn id="22" xr3:uid="{00000000-0010-0000-0100-000016000000}" name="21" totalsRowFunction="custom" totalsRowDxfId="941" dataCellStyle="Total" totalsRowCellStyle="Total">
      <totalsRowFormula>COUNTIF(PresençaemAgosto[21],"U")+COUNTIF(PresençaemAgosto[21],"E")</totalsRowFormula>
    </tableColumn>
    <tableColumn id="23" xr3:uid="{00000000-0010-0000-0100-000017000000}" name="22" totalsRowFunction="custom" totalsRowDxfId="940" dataCellStyle="Total" totalsRowCellStyle="Total">
      <totalsRowFormula>COUNTIF(PresençaemAgosto[22],"U")+COUNTIF(PresençaemAgosto[22],"E")</totalsRowFormula>
    </tableColumn>
    <tableColumn id="24" xr3:uid="{00000000-0010-0000-0100-000018000000}" name="23" totalsRowFunction="custom" totalsRowDxfId="939" dataCellStyle="Total" totalsRowCellStyle="Total">
      <totalsRowFormula>COUNTIF(PresençaemAgosto[23],"U")+COUNTIF(PresençaemAgosto[23],"E")</totalsRowFormula>
    </tableColumn>
    <tableColumn id="25" xr3:uid="{00000000-0010-0000-0100-000019000000}" name="24" totalsRowFunction="custom" totalsRowDxfId="938" dataCellStyle="Total" totalsRowCellStyle="Total">
      <totalsRowFormula>COUNTIF(PresençaemAgosto[24],"U")+COUNTIF(PresençaemAgosto[24],"E")</totalsRowFormula>
    </tableColumn>
    <tableColumn id="26" xr3:uid="{00000000-0010-0000-0100-00001A000000}" name="25" totalsRowFunction="custom" totalsRowDxfId="937" dataCellStyle="Total" totalsRowCellStyle="Total">
      <totalsRowFormula>COUNTIF(PresençaemAgosto[25],"U")+COUNTIF(PresençaemAgosto[25],"E")</totalsRowFormula>
    </tableColumn>
    <tableColumn id="27" xr3:uid="{00000000-0010-0000-0100-00001B000000}" name="26" totalsRowFunction="custom" totalsRowDxfId="936" dataCellStyle="Total" totalsRowCellStyle="Total">
      <totalsRowFormula>COUNTIF(PresençaemAgosto[26],"U")+COUNTIF(PresençaemAgosto[26],"E")</totalsRowFormula>
    </tableColumn>
    <tableColumn id="28" xr3:uid="{00000000-0010-0000-0100-00001C000000}" name="27" totalsRowFunction="custom" totalsRowDxfId="935" dataCellStyle="Total" totalsRowCellStyle="Total">
      <totalsRowFormula>COUNTIF(PresençaemAgosto[27],"U")+COUNTIF(PresençaemAgosto[27],"E")</totalsRowFormula>
    </tableColumn>
    <tableColumn id="29" xr3:uid="{00000000-0010-0000-0100-00001D000000}" name="28" totalsRowFunction="custom" totalsRowDxfId="934" dataCellStyle="Total" totalsRowCellStyle="Total">
      <totalsRowFormula>COUNTIF(PresençaemAgosto[28],"U")+COUNTIF(PresençaemAgosto[28],"E")</totalsRowFormula>
    </tableColumn>
    <tableColumn id="30" xr3:uid="{00000000-0010-0000-0100-00001E000000}" name="29" totalsRowFunction="custom" totalsRowDxfId="933" dataCellStyle="Total" totalsRowCellStyle="Total">
      <totalsRowFormula>COUNTIF(PresençaemAgosto[29],"U")+COUNTIF(PresençaemAgosto[29],"E")</totalsRowFormula>
    </tableColumn>
    <tableColumn id="31" xr3:uid="{00000000-0010-0000-0100-00001F000000}" name="30" totalsRowFunction="custom" totalsRowDxfId="932" dataCellStyle="Total" totalsRowCellStyle="Total">
      <totalsRowFormula>COUNTIF(PresençaemAgosto[30],"U")+COUNTIF(PresençaemAgosto[30],"E")</totalsRowFormula>
    </tableColumn>
    <tableColumn id="32" xr3:uid="{00000000-0010-0000-0100-000020000000}" name="31" totalsRowFunction="custom" totalsRowDxfId="931" dataCellStyle="Total" totalsRowCellStyle="Total">
      <totalsRowFormula>COUNTIF(PresençaemAgosto[31],"U")+COUNTIF(PresençaemAgosto[31],"E")</totalsRowFormula>
    </tableColumn>
    <tableColumn id="35" xr3:uid="{00000000-0010-0000-0100-000023000000}" name="T" totalsRowFunction="sum" dataDxfId="930" totalsRowDxfId="929" dataCellStyle="Total" totalsRowCellStyle="Total">
      <calculatedColumnFormula>COUNTIF(PresençaemAgosto[[#This Row],[1]:[31]],Código1)</calculatedColumnFormula>
    </tableColumn>
    <tableColumn id="34" xr3:uid="{00000000-0010-0000-0100-000022000000}" name="E" totalsRowFunction="sum" dataDxfId="928" totalsRowDxfId="927" dataCellStyle="Total" totalsRowCellStyle="Total">
      <calculatedColumnFormula>COUNTIF(PresençaemAgosto[[#This Row],[1]:[31]],Código2)</calculatedColumnFormula>
    </tableColumn>
    <tableColumn id="37" xr3:uid="{00000000-0010-0000-0100-000025000000}" name="F" totalsRowFunction="sum" dataDxfId="926" totalsRowDxfId="925" dataCellStyle="Total" totalsRowCellStyle="Total">
      <calculatedColumnFormula>COUNTIF(PresençaemAgosto[[#This Row],[1]:[31]],Código3)</calculatedColumnFormula>
    </tableColumn>
    <tableColumn id="36" xr3:uid="{00000000-0010-0000-0100-000024000000}" name="P" totalsRowFunction="sum" dataDxfId="924" totalsRowDxfId="923" dataCellStyle="Total" totalsRowCellStyle="Total">
      <calculatedColumnFormula>COUNTIF(PresençaemAgosto[[#This Row],[1]:[31]],Código4)</calculatedColumnFormula>
    </tableColumn>
    <tableColumn id="33" xr3:uid="{00000000-0010-0000-0100-000021000000}" name="Dias de Ausência" totalsRowFunction="sum" totalsRowDxfId="922" dataCellStyle="Total" totalsRowCellStyle="Total">
      <calculatedColumnFormula>SUM(PresençaemAgosto[[#This Row],[E]:[F]])</calculatedColumnFormula>
    </tableColumn>
  </tableColumns>
  <tableStyleInfo name="Employee Absence Table" showFirstColumn="0" showLastColumn="1" showRowStripes="1" showColumnStripes="1"/>
  <extLst>
    <ext xmlns:x14="http://schemas.microsoft.com/office/spreadsheetml/2009/9/main" uri="{504A1905-F514-4f6f-8877-14C23A59335A}">
      <x14:table altText="Registro de Presença em Agosto" altTextSummary="Controla a presença do aluno, como T=Atrasado, E=Dispensado, U=Não Dispensado, P=Presente, N=Sem Aula no mês de agosto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2000000}" name="PresençaemSetembro" displayName="PresençaemSetembro" ref="B6:AM12" totalsRowCount="1" totalsRowDxfId="921" headerRowCellStyle="Total" dataCellStyle="Total" totalsRowCellStyle="Total">
  <tableColumns count="38">
    <tableColumn id="38" xr3:uid="{00000000-0010-0000-0200-000026000000}" name="ID do Aluno" totalsRowDxfId="920" dataCellStyle="Total" totalsRowCellStyle="Total"/>
    <tableColumn id="1" xr3:uid="{00000000-0010-0000-0200-000001000000}" name="Nome do Aluno" totalsRowLabel="Total de dias de ausência" dataDxfId="919" totalsRowDxfId="918" dataCellStyle="Total" totalsRowCellStyle="Total"/>
    <tableColumn id="2" xr3:uid="{00000000-0010-0000-0200-000002000000}" name="1" totalsRowFunction="custom" dataDxfId="917" totalsRowDxfId="916" dataCellStyle="Total" totalsRowCellStyle="Total">
      <totalsRowFormula>COUNTIF(PresençaemSetembro[1],"U")+COUNTIF(PresençaemSetembro[1],"E")</totalsRowFormula>
    </tableColumn>
    <tableColumn id="3" xr3:uid="{00000000-0010-0000-0200-000003000000}" name="2" totalsRowFunction="custom" dataDxfId="915" totalsRowDxfId="914" dataCellStyle="Total" totalsRowCellStyle="Total">
      <totalsRowFormula>COUNTIF(PresençaemSetembro[2],"U")+COUNTIF(PresençaemSetembro[2],"E")</totalsRowFormula>
    </tableColumn>
    <tableColumn id="4" xr3:uid="{00000000-0010-0000-0200-000004000000}" name="3" totalsRowFunction="custom" dataDxfId="913" totalsRowDxfId="912" dataCellStyle="Total" totalsRowCellStyle="Total">
      <totalsRowFormula>COUNTIF(PresençaemSetembro[3],"U")+COUNTIF(PresençaemSetembro[3],"E")</totalsRowFormula>
    </tableColumn>
    <tableColumn id="5" xr3:uid="{00000000-0010-0000-0200-000005000000}" name="4" totalsRowFunction="custom" dataDxfId="911" totalsRowDxfId="910" dataCellStyle="Total" totalsRowCellStyle="Total">
      <totalsRowFormula>COUNTIF(PresençaemSetembro[4],"U")+COUNTIF(PresençaemSetembro[4],"E")</totalsRowFormula>
    </tableColumn>
    <tableColumn id="6" xr3:uid="{00000000-0010-0000-0200-000006000000}" name="5" totalsRowFunction="custom" dataDxfId="909" totalsRowDxfId="908" dataCellStyle="Total" totalsRowCellStyle="Total">
      <totalsRowFormula>COUNTIF(PresençaemSetembro[5],"U")+COUNTIF(PresençaemSetembro[5],"E")</totalsRowFormula>
    </tableColumn>
    <tableColumn id="7" xr3:uid="{00000000-0010-0000-0200-000007000000}" name="6" totalsRowFunction="custom" dataDxfId="907" totalsRowDxfId="906" dataCellStyle="Total" totalsRowCellStyle="Total">
      <totalsRowFormula>COUNTIF(PresençaemSetembro[6],"U")+COUNTIF(PresençaemSetembro[6],"E")</totalsRowFormula>
    </tableColumn>
    <tableColumn id="8" xr3:uid="{00000000-0010-0000-0200-000008000000}" name="7" totalsRowFunction="custom" dataDxfId="905" totalsRowDxfId="904" dataCellStyle="Total" totalsRowCellStyle="Total">
      <totalsRowFormula>COUNTIF(PresençaemSetembro[7],"U")+COUNTIF(PresençaemSetembro[7],"E")</totalsRowFormula>
    </tableColumn>
    <tableColumn id="9" xr3:uid="{00000000-0010-0000-0200-000009000000}" name="8" totalsRowFunction="custom" dataDxfId="903" totalsRowDxfId="902" dataCellStyle="Total" totalsRowCellStyle="Total">
      <totalsRowFormula>COUNTIF(PresençaemSetembro[8],"U")+COUNTIF(PresençaemSetembro[8],"E")</totalsRowFormula>
    </tableColumn>
    <tableColumn id="10" xr3:uid="{00000000-0010-0000-0200-00000A000000}" name="9" totalsRowFunction="custom" dataDxfId="901" totalsRowDxfId="900" dataCellStyle="Total" totalsRowCellStyle="Total">
      <totalsRowFormula>COUNTIF(PresençaemSetembro[9],"U")+COUNTIF(PresençaemSetembro[9],"E")</totalsRowFormula>
    </tableColumn>
    <tableColumn id="11" xr3:uid="{00000000-0010-0000-0200-00000B000000}" name="10" totalsRowFunction="custom" dataDxfId="899" totalsRowDxfId="898" dataCellStyle="Total" totalsRowCellStyle="Total">
      <totalsRowFormula>COUNTIF(PresençaemSetembro[10],"U")+COUNTIF(PresençaemSetembro[10],"E")</totalsRowFormula>
    </tableColumn>
    <tableColumn id="12" xr3:uid="{00000000-0010-0000-0200-00000C000000}" name="11" totalsRowFunction="custom" dataDxfId="897" totalsRowDxfId="896" dataCellStyle="Total" totalsRowCellStyle="Total">
      <totalsRowFormula>COUNTIF(PresençaemSetembro[11],"U")+COUNTIF(PresençaemSetembro[11],"E")</totalsRowFormula>
    </tableColumn>
    <tableColumn id="13" xr3:uid="{00000000-0010-0000-0200-00000D000000}" name="12" totalsRowFunction="custom" dataDxfId="895" totalsRowDxfId="894" dataCellStyle="Total" totalsRowCellStyle="Total">
      <totalsRowFormula>COUNTIF(PresençaemSetembro[12],"U")+COUNTIF(PresençaemSetembro[12],"E")</totalsRowFormula>
    </tableColumn>
    <tableColumn id="14" xr3:uid="{00000000-0010-0000-0200-00000E000000}" name="13" totalsRowFunction="custom" dataDxfId="893" totalsRowDxfId="892" dataCellStyle="Total" totalsRowCellStyle="Total">
      <totalsRowFormula>COUNTIF(PresençaemSetembro[13],"U")+COUNTIF(PresençaemSetembro[13],"E")</totalsRowFormula>
    </tableColumn>
    <tableColumn id="15" xr3:uid="{00000000-0010-0000-0200-00000F000000}" name="14" totalsRowFunction="custom" dataDxfId="891" totalsRowDxfId="890" dataCellStyle="Total" totalsRowCellStyle="Total">
      <totalsRowFormula>COUNTIF(PresençaemSetembro[14],"U")+COUNTIF(PresençaemSetembro[14],"E")</totalsRowFormula>
    </tableColumn>
    <tableColumn id="16" xr3:uid="{00000000-0010-0000-0200-000010000000}" name="15" totalsRowFunction="custom" dataDxfId="889" totalsRowDxfId="888" dataCellStyle="Total" totalsRowCellStyle="Total">
      <totalsRowFormula>COUNTIF(PresençaemSetembro[15],"U")+COUNTIF(PresençaemSetembro[15],"E")</totalsRowFormula>
    </tableColumn>
    <tableColumn id="17" xr3:uid="{00000000-0010-0000-0200-000011000000}" name="16" totalsRowFunction="custom" dataDxfId="887" totalsRowDxfId="886" dataCellStyle="Total" totalsRowCellStyle="Total">
      <totalsRowFormula>COUNTIF(PresençaemSetembro[16],"U")+COUNTIF(PresençaemSetembro[16],"E")</totalsRowFormula>
    </tableColumn>
    <tableColumn id="18" xr3:uid="{00000000-0010-0000-0200-000012000000}" name="17" totalsRowFunction="custom" dataDxfId="885" totalsRowDxfId="884" dataCellStyle="Total" totalsRowCellStyle="Total">
      <totalsRowFormula>COUNTIF(PresençaemSetembro[17],"U")+COUNTIF(PresençaemSetembro[17],"E")</totalsRowFormula>
    </tableColumn>
    <tableColumn id="19" xr3:uid="{00000000-0010-0000-0200-000013000000}" name="18" totalsRowFunction="custom" dataDxfId="883" totalsRowDxfId="882" dataCellStyle="Total" totalsRowCellStyle="Total">
      <totalsRowFormula>COUNTIF(PresençaemSetembro[18],"U")+COUNTIF(PresençaemSetembro[18],"E")</totalsRowFormula>
    </tableColumn>
    <tableColumn id="20" xr3:uid="{00000000-0010-0000-0200-000014000000}" name="19" totalsRowFunction="custom" dataDxfId="881" totalsRowDxfId="880" dataCellStyle="Total" totalsRowCellStyle="Total">
      <totalsRowFormula>COUNTIF(PresençaemSetembro[19],"U")+COUNTIF(PresençaemSetembro[19],"E")</totalsRowFormula>
    </tableColumn>
    <tableColumn id="21" xr3:uid="{00000000-0010-0000-0200-000015000000}" name="20" totalsRowFunction="custom" dataDxfId="879" totalsRowDxfId="878" dataCellStyle="Total" totalsRowCellStyle="Total">
      <totalsRowFormula>COUNTIF(PresençaemSetembro[20],"U")+COUNTIF(PresençaemSetembro[20],"E")</totalsRowFormula>
    </tableColumn>
    <tableColumn id="22" xr3:uid="{00000000-0010-0000-0200-000016000000}" name="21" totalsRowFunction="custom" dataDxfId="877" totalsRowDxfId="876" dataCellStyle="Total" totalsRowCellStyle="Total">
      <totalsRowFormula>COUNTIF(PresençaemSetembro[21],"U")+COUNTIF(PresençaemSetembro[21],"E")</totalsRowFormula>
    </tableColumn>
    <tableColumn id="23" xr3:uid="{00000000-0010-0000-0200-000017000000}" name="22" totalsRowFunction="custom" dataDxfId="875" totalsRowDxfId="874" dataCellStyle="Total" totalsRowCellStyle="Total">
      <totalsRowFormula>COUNTIF(PresençaemSetembro[22],"U")+COUNTIF(PresençaemSetembro[22],"E")</totalsRowFormula>
    </tableColumn>
    <tableColumn id="24" xr3:uid="{00000000-0010-0000-0200-000018000000}" name="23" totalsRowFunction="custom" dataDxfId="873" totalsRowDxfId="872" dataCellStyle="Total" totalsRowCellStyle="Total">
      <totalsRowFormula>COUNTIF(PresençaemSetembro[23],"U")+COUNTIF(PresençaemSetembro[23],"E")</totalsRowFormula>
    </tableColumn>
    <tableColumn id="25" xr3:uid="{00000000-0010-0000-0200-000019000000}" name="24" totalsRowFunction="custom" dataDxfId="871" totalsRowDxfId="870" dataCellStyle="Total" totalsRowCellStyle="Total">
      <totalsRowFormula>COUNTIF(PresençaemSetembro[24],"U")+COUNTIF(PresençaemSetembro[24],"E")</totalsRowFormula>
    </tableColumn>
    <tableColumn id="26" xr3:uid="{00000000-0010-0000-0200-00001A000000}" name="25" totalsRowFunction="custom" dataDxfId="869" totalsRowDxfId="868" dataCellStyle="Total" totalsRowCellStyle="Total">
      <totalsRowFormula>COUNTIF(PresençaemSetembro[25],"U")+COUNTIF(PresençaemSetembro[25],"E")</totalsRowFormula>
    </tableColumn>
    <tableColumn id="27" xr3:uid="{00000000-0010-0000-0200-00001B000000}" name="26" totalsRowFunction="custom" dataDxfId="867" totalsRowDxfId="866" dataCellStyle="Total" totalsRowCellStyle="Total">
      <totalsRowFormula>COUNTIF(PresençaemSetembro[26],"U")+COUNTIF(PresençaemSetembro[26],"E")</totalsRowFormula>
    </tableColumn>
    <tableColumn id="28" xr3:uid="{00000000-0010-0000-0200-00001C000000}" name="27" totalsRowFunction="custom" dataDxfId="865" totalsRowDxfId="864" dataCellStyle="Total" totalsRowCellStyle="Total">
      <totalsRowFormula>COUNTIF(PresençaemSetembro[27],"U")+COUNTIF(PresençaemSetembro[27],"E")</totalsRowFormula>
    </tableColumn>
    <tableColumn id="29" xr3:uid="{00000000-0010-0000-0200-00001D000000}" name="28" totalsRowFunction="custom" dataDxfId="863" totalsRowDxfId="862" dataCellStyle="Total" totalsRowCellStyle="Total">
      <totalsRowFormula>COUNTIF(PresençaemSetembro[28],"U")+COUNTIF(PresençaemSetembro[28],"E")</totalsRowFormula>
    </tableColumn>
    <tableColumn id="30" xr3:uid="{00000000-0010-0000-0200-00001E000000}" name="29" totalsRowFunction="custom" dataDxfId="861" totalsRowDxfId="860" dataCellStyle="Total" totalsRowCellStyle="Total">
      <totalsRowFormula>COUNTIF(PresençaemSetembro[29],"U")+COUNTIF(PresençaemSetembro[29],"E")</totalsRowFormula>
    </tableColumn>
    <tableColumn id="31" xr3:uid="{00000000-0010-0000-0200-00001F000000}" name="30" totalsRowFunction="custom" totalsRowDxfId="859" dataCellStyle="Total" totalsRowCellStyle="Total">
      <totalsRowFormula>COUNTIF(PresençaemSetembro[30],"U")+COUNTIF(PresençaemSetembro[30],"E")</totalsRowFormula>
    </tableColumn>
    <tableColumn id="32" xr3:uid="{00000000-0010-0000-0200-000020000000}" name=" " totalsRowFunction="custom" totalsRowDxfId="858" dataCellStyle="Total" totalsRowCellStyle="Total">
      <totalsRowFormula>COUNTIF(PresençaemSetembro[[ ]],"U")+COUNTIF(PresençaemSetembro[[ ]],"E")</totalsRowFormula>
    </tableColumn>
    <tableColumn id="35" xr3:uid="{00000000-0010-0000-0200-000023000000}" name="T" totalsRowFunction="sum" dataDxfId="857" totalsRowDxfId="856" dataCellStyle="Total" totalsRowCellStyle="Total">
      <calculatedColumnFormula>COUNTIF(PresençaemSetembro[[#This Row],[1]:[ ]],Código1)</calculatedColumnFormula>
    </tableColumn>
    <tableColumn id="34" xr3:uid="{00000000-0010-0000-0200-000022000000}" name="E" totalsRowFunction="sum" dataDxfId="855" totalsRowDxfId="854" dataCellStyle="Total" totalsRowCellStyle="Total">
      <calculatedColumnFormula>COUNTIF(PresençaemSetembro[[#This Row],[1]:[ ]],Código2)</calculatedColumnFormula>
    </tableColumn>
    <tableColumn id="37" xr3:uid="{00000000-0010-0000-0200-000025000000}" name="U" totalsRowFunction="sum" dataDxfId="853" totalsRowDxfId="852" dataCellStyle="Total" totalsRowCellStyle="Total">
      <calculatedColumnFormula>COUNTIF(PresençaemSetembro[[#This Row],[1]:[ ]],Código3)</calculatedColumnFormula>
    </tableColumn>
    <tableColumn id="36" xr3:uid="{00000000-0010-0000-0200-000024000000}" name="P" totalsRowFunction="sum" dataDxfId="851" totalsRowDxfId="850" dataCellStyle="Total" totalsRowCellStyle="Total">
      <calculatedColumnFormula>COUNTIF(PresençaemSetembro[[#This Row],[1]:[ ]],Código4)</calculatedColumnFormula>
    </tableColumn>
    <tableColumn id="33" xr3:uid="{00000000-0010-0000-0200-000021000000}" name="Dias de Ausência" totalsRowFunction="sum" totalsRowDxfId="849" dataCellStyle="Total" totalsRowCellStyle="Total">
      <calculatedColumnFormula>SUM(PresençaemSetembro[[#This Row],[E]:[U]])</calculatedColumnFormula>
    </tableColumn>
  </tableColumns>
  <tableStyleInfo name="Employee Absence Table" showFirstColumn="0" showLastColumn="1" showRowStripes="1" showColumnStripes="1"/>
  <extLst>
    <ext xmlns:x14="http://schemas.microsoft.com/office/spreadsheetml/2009/9/main" uri="{504A1905-F514-4f6f-8877-14C23A59335A}">
      <x14:table altText="Registro de Presença em Agosto" altTextSummary="Controla a presença do aluno, como T=Atrasado, E=Dispensado, U=Não Dispensado, P=Presente, N=Sem Aula no mês de setembro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PresençaemOutubro" displayName="PresençaemOutubro" ref="B6:AM12" totalsRowCount="1" totalsRowDxfId="848" headerRowCellStyle="Total" dataCellStyle="Total" totalsRowCellStyle="Total">
  <tableColumns count="38">
    <tableColumn id="38" xr3:uid="{00000000-0010-0000-0300-000026000000}" name="ID do Aluno" totalsRowDxfId="847" dataCellStyle="Total" totalsRowCellStyle="Total"/>
    <tableColumn id="1" xr3:uid="{00000000-0010-0000-0300-000001000000}" name="Nome do Aluno" totalsRowLabel="Total de dias de ausência" dataDxfId="846" totalsRowDxfId="845" dataCellStyle="Total" totalsRowCellStyle="Total"/>
    <tableColumn id="2" xr3:uid="{00000000-0010-0000-0300-000002000000}" name="1" totalsRowFunction="custom" dataDxfId="844" totalsRowDxfId="843" dataCellStyle="Total" totalsRowCellStyle="Total">
      <totalsRowFormula>COUNTIF(PresençaemOutubro[1],"U")+COUNTIF(PresençaemOutubro[1],"E")</totalsRowFormula>
    </tableColumn>
    <tableColumn id="3" xr3:uid="{00000000-0010-0000-0300-000003000000}" name="2" totalsRowFunction="custom" dataDxfId="842" totalsRowDxfId="841" dataCellStyle="Total" totalsRowCellStyle="Total">
      <totalsRowFormula>COUNTIF(PresençaemOutubro[2],"U")+COUNTIF(PresençaemOutubro[2],"E")</totalsRowFormula>
    </tableColumn>
    <tableColumn id="4" xr3:uid="{00000000-0010-0000-0300-000004000000}" name="3" totalsRowFunction="custom" dataDxfId="840" totalsRowDxfId="839" dataCellStyle="Total" totalsRowCellStyle="Total">
      <totalsRowFormula>COUNTIF(PresençaemOutubro[3],"U")+COUNTIF(PresençaemOutubro[3],"E")</totalsRowFormula>
    </tableColumn>
    <tableColumn id="5" xr3:uid="{00000000-0010-0000-0300-000005000000}" name="4" totalsRowFunction="custom" dataDxfId="838" totalsRowDxfId="837" dataCellStyle="Total" totalsRowCellStyle="Total">
      <totalsRowFormula>COUNTIF(PresençaemOutubro[4],"U")+COUNTIF(PresençaemOutubro[4],"E")</totalsRowFormula>
    </tableColumn>
    <tableColumn id="6" xr3:uid="{00000000-0010-0000-0300-000006000000}" name="5" totalsRowFunction="custom" dataDxfId="836" totalsRowDxfId="835" dataCellStyle="Total" totalsRowCellStyle="Total">
      <totalsRowFormula>COUNTIF(PresençaemOutubro[5],"U")+COUNTIF(PresençaemOutubro[5],"E")</totalsRowFormula>
    </tableColumn>
    <tableColumn id="7" xr3:uid="{00000000-0010-0000-0300-000007000000}" name="6" totalsRowFunction="custom" dataDxfId="834" totalsRowDxfId="833" dataCellStyle="Total" totalsRowCellStyle="Total">
      <totalsRowFormula>COUNTIF(PresençaemOutubro[6],"U")+COUNTIF(PresençaemOutubro[6],"E")</totalsRowFormula>
    </tableColumn>
    <tableColumn id="8" xr3:uid="{00000000-0010-0000-0300-000008000000}" name="7" totalsRowFunction="custom" dataDxfId="832" totalsRowDxfId="831" dataCellStyle="Total" totalsRowCellStyle="Total">
      <totalsRowFormula>COUNTIF(PresençaemOutubro[7],"U")+COUNTIF(PresençaemOutubro[7],"E")</totalsRowFormula>
    </tableColumn>
    <tableColumn id="9" xr3:uid="{00000000-0010-0000-0300-000009000000}" name="8" totalsRowFunction="custom" dataDxfId="830" totalsRowDxfId="829" dataCellStyle="Total" totalsRowCellStyle="Total">
      <totalsRowFormula>COUNTIF(PresençaemOutubro[8],"U")+COUNTIF(PresençaemOutubro[8],"E")</totalsRowFormula>
    </tableColumn>
    <tableColumn id="10" xr3:uid="{00000000-0010-0000-0300-00000A000000}" name="9" totalsRowFunction="custom" dataDxfId="828" totalsRowDxfId="827" dataCellStyle="Total" totalsRowCellStyle="Total">
      <totalsRowFormula>COUNTIF(PresençaemOutubro[9],"U")+COUNTIF(PresençaemOutubro[9],"E")</totalsRowFormula>
    </tableColumn>
    <tableColumn id="11" xr3:uid="{00000000-0010-0000-0300-00000B000000}" name="10" totalsRowFunction="custom" dataDxfId="826" totalsRowDxfId="825" dataCellStyle="Total" totalsRowCellStyle="Total">
      <totalsRowFormula>COUNTIF(PresençaemOutubro[10],"U")+COUNTIF(PresençaemOutubro[10],"E")</totalsRowFormula>
    </tableColumn>
    <tableColumn id="12" xr3:uid="{00000000-0010-0000-0300-00000C000000}" name="11" totalsRowFunction="custom" dataDxfId="824" totalsRowDxfId="823" dataCellStyle="Total" totalsRowCellStyle="Total">
      <totalsRowFormula>COUNTIF(PresençaemOutubro[11],"U")+COUNTIF(PresençaemOutubro[11],"E")</totalsRowFormula>
    </tableColumn>
    <tableColumn id="13" xr3:uid="{00000000-0010-0000-0300-00000D000000}" name="12" totalsRowFunction="custom" dataDxfId="822" totalsRowDxfId="821" dataCellStyle="Total" totalsRowCellStyle="Total">
      <totalsRowFormula>COUNTIF(PresençaemOutubro[12],"U")+COUNTIF(PresençaemOutubro[12],"E")</totalsRowFormula>
    </tableColumn>
    <tableColumn id="14" xr3:uid="{00000000-0010-0000-0300-00000E000000}" name="13" totalsRowFunction="custom" dataDxfId="820" totalsRowDxfId="819" dataCellStyle="Total" totalsRowCellStyle="Total">
      <totalsRowFormula>COUNTIF(PresençaemOutubro[13],"U")+COUNTIF(PresençaemOutubro[13],"E")</totalsRowFormula>
    </tableColumn>
    <tableColumn id="15" xr3:uid="{00000000-0010-0000-0300-00000F000000}" name="14" totalsRowFunction="custom" dataDxfId="818" totalsRowDxfId="817" dataCellStyle="Total" totalsRowCellStyle="Total">
      <totalsRowFormula>COUNTIF(PresençaemOutubro[14],"U")+COUNTIF(PresençaemOutubro[14],"E")</totalsRowFormula>
    </tableColumn>
    <tableColumn id="16" xr3:uid="{00000000-0010-0000-0300-000010000000}" name="15" totalsRowFunction="custom" dataDxfId="816" totalsRowDxfId="815" dataCellStyle="Total" totalsRowCellStyle="Total">
      <totalsRowFormula>COUNTIF(PresençaemOutubro[15],"U")+COUNTIF(PresençaemOutubro[15],"E")</totalsRowFormula>
    </tableColumn>
    <tableColumn id="17" xr3:uid="{00000000-0010-0000-0300-000011000000}" name="16" totalsRowFunction="custom" dataDxfId="814" totalsRowDxfId="813" dataCellStyle="Total" totalsRowCellStyle="Total">
      <totalsRowFormula>COUNTIF(PresençaemOutubro[16],"U")+COUNTIF(PresençaemOutubro[16],"E")</totalsRowFormula>
    </tableColumn>
    <tableColumn id="18" xr3:uid="{00000000-0010-0000-0300-000012000000}" name="17" totalsRowFunction="custom" dataDxfId="812" totalsRowDxfId="811" dataCellStyle="Total" totalsRowCellStyle="Total">
      <totalsRowFormula>COUNTIF(PresençaemOutubro[17],"U")+COUNTIF(PresençaemOutubro[17],"E")</totalsRowFormula>
    </tableColumn>
    <tableColumn id="19" xr3:uid="{00000000-0010-0000-0300-000013000000}" name="18" totalsRowFunction="custom" dataDxfId="810" totalsRowDxfId="809" dataCellStyle="Total" totalsRowCellStyle="Total">
      <totalsRowFormula>COUNTIF(PresençaemOutubro[18],"U")+COUNTIF(PresençaemOutubro[18],"E")</totalsRowFormula>
    </tableColumn>
    <tableColumn id="20" xr3:uid="{00000000-0010-0000-0300-000014000000}" name="19" totalsRowFunction="custom" dataDxfId="808" totalsRowDxfId="807" dataCellStyle="Total" totalsRowCellStyle="Total">
      <totalsRowFormula>COUNTIF(PresençaemOutubro[19],"U")+COUNTIF(PresençaemOutubro[19],"E")</totalsRowFormula>
    </tableColumn>
    <tableColumn id="21" xr3:uid="{00000000-0010-0000-0300-000015000000}" name="20" totalsRowFunction="custom" dataDxfId="806" totalsRowDxfId="805" dataCellStyle="Total" totalsRowCellStyle="Total">
      <totalsRowFormula>COUNTIF(PresençaemOutubro[20],"U")+COUNTIF(PresençaemOutubro[20],"E")</totalsRowFormula>
    </tableColumn>
    <tableColumn id="22" xr3:uid="{00000000-0010-0000-0300-000016000000}" name="21" totalsRowFunction="custom" dataDxfId="804" totalsRowDxfId="803" dataCellStyle="Total" totalsRowCellStyle="Total">
      <totalsRowFormula>COUNTIF(PresençaemOutubro[21],"U")+COUNTIF(PresençaemOutubro[21],"E")</totalsRowFormula>
    </tableColumn>
    <tableColumn id="23" xr3:uid="{00000000-0010-0000-0300-000017000000}" name="22" totalsRowFunction="custom" dataDxfId="802" totalsRowDxfId="801" dataCellStyle="Total" totalsRowCellStyle="Total">
      <totalsRowFormula>COUNTIF(PresençaemOutubro[22],"U")+COUNTIF(PresençaemOutubro[22],"E")</totalsRowFormula>
    </tableColumn>
    <tableColumn id="24" xr3:uid="{00000000-0010-0000-0300-000018000000}" name="23" totalsRowFunction="custom" dataDxfId="800" totalsRowDxfId="799" dataCellStyle="Total" totalsRowCellStyle="Total">
      <totalsRowFormula>COUNTIF(PresençaemOutubro[23],"U")+COUNTIF(PresençaemOutubro[23],"E")</totalsRowFormula>
    </tableColumn>
    <tableColumn id="25" xr3:uid="{00000000-0010-0000-0300-000019000000}" name="24" totalsRowFunction="custom" dataDxfId="798" totalsRowDxfId="797" dataCellStyle="Total" totalsRowCellStyle="Total">
      <totalsRowFormula>COUNTIF(PresençaemOutubro[24],"U")+COUNTIF(PresençaemOutubro[24],"E")</totalsRowFormula>
    </tableColumn>
    <tableColumn id="26" xr3:uid="{00000000-0010-0000-0300-00001A000000}" name="25" totalsRowFunction="custom" dataDxfId="796" totalsRowDxfId="795" dataCellStyle="Total" totalsRowCellStyle="Total">
      <totalsRowFormula>COUNTIF(PresençaemOutubro[25],"U")+COUNTIF(PresençaemOutubro[25],"E")</totalsRowFormula>
    </tableColumn>
    <tableColumn id="27" xr3:uid="{00000000-0010-0000-0300-00001B000000}" name="26" totalsRowFunction="custom" dataDxfId="794" totalsRowDxfId="793" dataCellStyle="Total" totalsRowCellStyle="Total">
      <totalsRowFormula>COUNTIF(PresençaemOutubro[26],"U")+COUNTIF(PresençaemOutubro[26],"E")</totalsRowFormula>
    </tableColumn>
    <tableColumn id="28" xr3:uid="{00000000-0010-0000-0300-00001C000000}" name="27" totalsRowFunction="custom" dataDxfId="792" totalsRowDxfId="791" dataCellStyle="Total" totalsRowCellStyle="Total">
      <totalsRowFormula>COUNTIF(PresençaemOutubro[27],"U")+COUNTIF(PresençaemOutubro[27],"E")</totalsRowFormula>
    </tableColumn>
    <tableColumn id="29" xr3:uid="{00000000-0010-0000-0300-00001D000000}" name="28" totalsRowFunction="custom" dataDxfId="790" totalsRowDxfId="789" dataCellStyle="Total" totalsRowCellStyle="Total">
      <totalsRowFormula>COUNTIF(PresençaemOutubro[28],"U")+COUNTIF(PresençaemOutubro[28],"E")</totalsRowFormula>
    </tableColumn>
    <tableColumn id="30" xr3:uid="{00000000-0010-0000-0300-00001E000000}" name="29" totalsRowFunction="custom" dataDxfId="788" totalsRowDxfId="787" dataCellStyle="Total" totalsRowCellStyle="Total">
      <totalsRowFormula>COUNTIF(PresençaemOutubro[29],"U")+COUNTIF(PresençaemOutubro[29],"E")</totalsRowFormula>
    </tableColumn>
    <tableColumn id="31" xr3:uid="{00000000-0010-0000-0300-00001F000000}" name="30" totalsRowFunction="custom" totalsRowDxfId="786" dataCellStyle="Total" totalsRowCellStyle="Total">
      <totalsRowFormula>COUNTIF(PresençaemOutubro[30],"U")+COUNTIF(PresençaemOutubro[30],"E")</totalsRowFormula>
    </tableColumn>
    <tableColumn id="32" xr3:uid="{00000000-0010-0000-0300-000020000000}" name="31" totalsRowFunction="custom" totalsRowDxfId="785" dataCellStyle="Total" totalsRowCellStyle="Total">
      <totalsRowFormula>COUNTIF(PresençaemOutubro[31],"U")+COUNTIF(PresençaemOutubro[31],"E")</totalsRowFormula>
    </tableColumn>
    <tableColumn id="35" xr3:uid="{00000000-0010-0000-0300-000023000000}" name="T" totalsRowFunction="sum" dataDxfId="784" totalsRowDxfId="783" dataCellStyle="Total" totalsRowCellStyle="Total">
      <calculatedColumnFormula>COUNTIF(PresençaemOutubro[[#This Row],[1]:[31]],Código1)</calculatedColumnFormula>
    </tableColumn>
    <tableColumn id="34" xr3:uid="{00000000-0010-0000-0300-000022000000}" name="E" totalsRowFunction="sum" dataDxfId="782" totalsRowDxfId="781" dataCellStyle="Total" totalsRowCellStyle="Total">
      <calculatedColumnFormula>COUNTIF(PresençaemOutubro[[#This Row],[1]:[31]],Código2)</calculatedColumnFormula>
    </tableColumn>
    <tableColumn id="37" xr3:uid="{00000000-0010-0000-0300-000025000000}" name="U" totalsRowFunction="sum" dataDxfId="780" totalsRowDxfId="779" dataCellStyle="Total" totalsRowCellStyle="Total">
      <calculatedColumnFormula>COUNTIF(PresençaemOutubro[[#This Row],[1]:[31]],Código3)</calculatedColumnFormula>
    </tableColumn>
    <tableColumn id="36" xr3:uid="{00000000-0010-0000-0300-000024000000}" name="P" totalsRowFunction="sum" dataDxfId="778" totalsRowDxfId="777" dataCellStyle="Total" totalsRowCellStyle="Total">
      <calculatedColumnFormula>COUNTIF(PresençaemOutubro[[#This Row],[1]:[31]],Código4)</calculatedColumnFormula>
    </tableColumn>
    <tableColumn id="33" xr3:uid="{00000000-0010-0000-0300-000021000000}" name="Dias de Ausência" totalsRowFunction="sum" totalsRowDxfId="776" dataCellStyle="Total" totalsRowCellStyle="Total">
      <calculatedColumnFormula>SUM(PresençaemOutubro[[#This Row],[E]:[U]])</calculatedColumnFormula>
    </tableColumn>
  </tableColumns>
  <tableStyleInfo name="Employee Absence Table" showFirstColumn="0" showLastColumn="1" showRowStripes="1" showColumnStripes="1"/>
  <extLst>
    <ext xmlns:x14="http://schemas.microsoft.com/office/spreadsheetml/2009/9/main" uri="{504A1905-F514-4f6f-8877-14C23A59335A}">
      <x14:table altText="Registro de Presença em Agosto" altTextSummary="Controla a presença do aluno, como T=Atrasado, E=Dispensado, U=Não Dispensado, P=Presente, N=Sem Aula no mês de outubro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PresençaemNovembro" displayName="PresençaemNovembro" ref="B6:AM12" totalsRowCount="1" totalsRowDxfId="775" headerRowCellStyle="Total" dataCellStyle="Total" totalsRowCellStyle="Total">
  <tableColumns count="38">
    <tableColumn id="38" xr3:uid="{00000000-0010-0000-0400-000026000000}" name="ID do Aluno" totalsRowDxfId="774" dataCellStyle="Total" totalsRowCellStyle="Total"/>
    <tableColumn id="1" xr3:uid="{00000000-0010-0000-0400-000001000000}" name="Nome do Aluno" totalsRowLabel="Total de dias de ausência" dataDxfId="773" totalsRowDxfId="772" dataCellStyle="Total" totalsRowCellStyle="Total"/>
    <tableColumn id="2" xr3:uid="{00000000-0010-0000-0400-000002000000}" name="1" totalsRowFunction="custom" dataDxfId="771" totalsRowDxfId="770" dataCellStyle="Total" totalsRowCellStyle="Total">
      <totalsRowFormula>COUNTIF(PresençaemNovembro[1],"U")+COUNTIF(PresençaemNovembro[1],"E")</totalsRowFormula>
    </tableColumn>
    <tableColumn id="3" xr3:uid="{00000000-0010-0000-0400-000003000000}" name="2" totalsRowFunction="custom" dataDxfId="769" totalsRowDxfId="768" dataCellStyle="Total" totalsRowCellStyle="Total">
      <totalsRowFormula>COUNTIF(PresençaemNovembro[2],"U")+COUNTIF(PresençaemNovembro[2],"E")</totalsRowFormula>
    </tableColumn>
    <tableColumn id="4" xr3:uid="{00000000-0010-0000-0400-000004000000}" name="3" totalsRowFunction="custom" dataDxfId="767" totalsRowDxfId="766" dataCellStyle="Total" totalsRowCellStyle="Total">
      <totalsRowFormula>COUNTIF(PresençaemNovembro[3],"U")+COUNTIF(PresençaemNovembro[3],"E")</totalsRowFormula>
    </tableColumn>
    <tableColumn id="5" xr3:uid="{00000000-0010-0000-0400-000005000000}" name="4" totalsRowFunction="custom" dataDxfId="765" totalsRowDxfId="764" dataCellStyle="Total" totalsRowCellStyle="Total">
      <totalsRowFormula>COUNTIF(PresençaemNovembro[4],"U")+COUNTIF(PresençaemNovembro[4],"E")</totalsRowFormula>
    </tableColumn>
    <tableColumn id="6" xr3:uid="{00000000-0010-0000-0400-000006000000}" name="5" totalsRowFunction="custom" dataDxfId="763" totalsRowDxfId="762" dataCellStyle="Total" totalsRowCellStyle="Total">
      <totalsRowFormula>COUNTIF(PresençaemNovembro[5],"U")+COUNTIF(PresençaemNovembro[5],"E")</totalsRowFormula>
    </tableColumn>
    <tableColumn id="7" xr3:uid="{00000000-0010-0000-0400-000007000000}" name="6" totalsRowFunction="custom" dataDxfId="761" totalsRowDxfId="760" dataCellStyle="Total" totalsRowCellStyle="Total">
      <totalsRowFormula>COUNTIF(PresençaemNovembro[6],"U")+COUNTIF(PresençaemNovembro[6],"E")</totalsRowFormula>
    </tableColumn>
    <tableColumn id="8" xr3:uid="{00000000-0010-0000-0400-000008000000}" name="7" totalsRowFunction="custom" dataDxfId="759" totalsRowDxfId="758" dataCellStyle="Total" totalsRowCellStyle="Total">
      <totalsRowFormula>COUNTIF(PresençaemNovembro[7],"U")+COUNTIF(PresençaemNovembro[7],"E")</totalsRowFormula>
    </tableColumn>
    <tableColumn id="9" xr3:uid="{00000000-0010-0000-0400-000009000000}" name="8" totalsRowFunction="custom" dataDxfId="757" totalsRowDxfId="756" dataCellStyle="Total" totalsRowCellStyle="Total">
      <totalsRowFormula>COUNTIF(PresençaemNovembro[8],"U")+COUNTIF(PresençaemNovembro[8],"E")</totalsRowFormula>
    </tableColumn>
    <tableColumn id="10" xr3:uid="{00000000-0010-0000-0400-00000A000000}" name="9" totalsRowFunction="custom" dataDxfId="755" totalsRowDxfId="754" dataCellStyle="Total" totalsRowCellStyle="Total">
      <totalsRowFormula>COUNTIF(PresençaemNovembro[9],"U")+COUNTIF(PresençaemNovembro[9],"E")</totalsRowFormula>
    </tableColumn>
    <tableColumn id="11" xr3:uid="{00000000-0010-0000-0400-00000B000000}" name="10" totalsRowFunction="custom" dataDxfId="753" totalsRowDxfId="752" dataCellStyle="Total" totalsRowCellStyle="Total">
      <totalsRowFormula>COUNTIF(PresençaemNovembro[10],"U")+COUNTIF(PresençaemNovembro[10],"E")</totalsRowFormula>
    </tableColumn>
    <tableColumn id="12" xr3:uid="{00000000-0010-0000-0400-00000C000000}" name="11" totalsRowFunction="custom" dataDxfId="751" totalsRowDxfId="750" dataCellStyle="Total" totalsRowCellStyle="Total">
      <totalsRowFormula>COUNTIF(PresençaemNovembro[11],"U")+COUNTIF(PresençaemNovembro[11],"E")</totalsRowFormula>
    </tableColumn>
    <tableColumn id="13" xr3:uid="{00000000-0010-0000-0400-00000D000000}" name="12" totalsRowFunction="custom" dataDxfId="749" totalsRowDxfId="748" dataCellStyle="Total" totalsRowCellStyle="Total">
      <totalsRowFormula>COUNTIF(PresençaemNovembro[12],"U")+COUNTIF(PresençaemNovembro[12],"E")</totalsRowFormula>
    </tableColumn>
    <tableColumn id="14" xr3:uid="{00000000-0010-0000-0400-00000E000000}" name="13" totalsRowFunction="custom" dataDxfId="747" totalsRowDxfId="746" dataCellStyle="Total" totalsRowCellStyle="Total">
      <totalsRowFormula>COUNTIF(PresençaemNovembro[13],"U")+COUNTIF(PresençaemNovembro[13],"E")</totalsRowFormula>
    </tableColumn>
    <tableColumn id="15" xr3:uid="{00000000-0010-0000-0400-00000F000000}" name="14" totalsRowFunction="custom" dataDxfId="745" totalsRowDxfId="744" dataCellStyle="Total" totalsRowCellStyle="Total">
      <totalsRowFormula>COUNTIF(PresençaemNovembro[14],"U")+COUNTIF(PresençaemNovembro[14],"E")</totalsRowFormula>
    </tableColumn>
    <tableColumn id="16" xr3:uid="{00000000-0010-0000-0400-000010000000}" name="15" totalsRowFunction="custom" dataDxfId="743" totalsRowDxfId="742" dataCellStyle="Total" totalsRowCellStyle="Total">
      <totalsRowFormula>COUNTIF(PresençaemNovembro[15],"U")+COUNTIF(PresençaemNovembro[15],"E")</totalsRowFormula>
    </tableColumn>
    <tableColumn id="17" xr3:uid="{00000000-0010-0000-0400-000011000000}" name="16" totalsRowFunction="custom" dataDxfId="741" totalsRowDxfId="740" dataCellStyle="Total" totalsRowCellStyle="Total">
      <totalsRowFormula>COUNTIF(PresençaemNovembro[16],"U")+COUNTIF(PresençaemNovembro[16],"E")</totalsRowFormula>
    </tableColumn>
    <tableColumn id="18" xr3:uid="{00000000-0010-0000-0400-000012000000}" name="17" totalsRowFunction="custom" dataDxfId="739" totalsRowDxfId="738" dataCellStyle="Total" totalsRowCellStyle="Total">
      <totalsRowFormula>COUNTIF(PresençaemNovembro[17],"U")+COUNTIF(PresençaemNovembro[17],"E")</totalsRowFormula>
    </tableColumn>
    <tableColumn id="19" xr3:uid="{00000000-0010-0000-0400-000013000000}" name="18" totalsRowFunction="custom" dataDxfId="737" totalsRowDxfId="736" dataCellStyle="Total" totalsRowCellStyle="Total">
      <totalsRowFormula>COUNTIF(PresençaemNovembro[18],"U")+COUNTIF(PresençaemNovembro[18],"E")</totalsRowFormula>
    </tableColumn>
    <tableColumn id="20" xr3:uid="{00000000-0010-0000-0400-000014000000}" name="19" totalsRowFunction="custom" dataDxfId="735" totalsRowDxfId="734" dataCellStyle="Total" totalsRowCellStyle="Total">
      <totalsRowFormula>COUNTIF(PresençaemNovembro[19],"U")+COUNTIF(PresençaemNovembro[19],"E")</totalsRowFormula>
    </tableColumn>
    <tableColumn id="21" xr3:uid="{00000000-0010-0000-0400-000015000000}" name="20" totalsRowFunction="custom" dataDxfId="733" totalsRowDxfId="732" dataCellStyle="Total" totalsRowCellStyle="Total">
      <totalsRowFormula>COUNTIF(PresençaemNovembro[20],"U")+COUNTIF(PresençaemNovembro[20],"E")</totalsRowFormula>
    </tableColumn>
    <tableColumn id="22" xr3:uid="{00000000-0010-0000-0400-000016000000}" name="21" totalsRowFunction="custom" dataDxfId="731" totalsRowDxfId="730" dataCellStyle="Total" totalsRowCellStyle="Total">
      <totalsRowFormula>COUNTIF(PresençaemNovembro[21],"U")+COUNTIF(PresençaemNovembro[21],"E")</totalsRowFormula>
    </tableColumn>
    <tableColumn id="23" xr3:uid="{00000000-0010-0000-0400-000017000000}" name="22" totalsRowFunction="custom" dataDxfId="729" totalsRowDxfId="728" dataCellStyle="Total" totalsRowCellStyle="Total">
      <totalsRowFormula>COUNTIF(PresençaemNovembro[22],"U")+COUNTIF(PresençaemNovembro[22],"E")</totalsRowFormula>
    </tableColumn>
    <tableColumn id="24" xr3:uid="{00000000-0010-0000-0400-000018000000}" name="23" totalsRowFunction="custom" dataDxfId="727" totalsRowDxfId="726" dataCellStyle="Total" totalsRowCellStyle="Total">
      <totalsRowFormula>COUNTIF(PresençaemNovembro[23],"U")+COUNTIF(PresençaemNovembro[23],"E")</totalsRowFormula>
    </tableColumn>
    <tableColumn id="25" xr3:uid="{00000000-0010-0000-0400-000019000000}" name="24" totalsRowFunction="custom" dataDxfId="725" totalsRowDxfId="724" dataCellStyle="Total" totalsRowCellStyle="Total">
      <totalsRowFormula>COUNTIF(PresençaemNovembro[24],"U")+COUNTIF(PresençaemNovembro[24],"E")</totalsRowFormula>
    </tableColumn>
    <tableColumn id="26" xr3:uid="{00000000-0010-0000-0400-00001A000000}" name="25" totalsRowFunction="custom" dataDxfId="723" totalsRowDxfId="722" dataCellStyle="Total" totalsRowCellStyle="Total">
      <totalsRowFormula>COUNTIF(PresençaemNovembro[25],"U")+COUNTIF(PresençaemNovembro[25],"E")</totalsRowFormula>
    </tableColumn>
    <tableColumn id="27" xr3:uid="{00000000-0010-0000-0400-00001B000000}" name="26" totalsRowFunction="custom" dataDxfId="721" totalsRowDxfId="720" dataCellStyle="Total" totalsRowCellStyle="Total">
      <totalsRowFormula>COUNTIF(PresençaemNovembro[26],"U")+COUNTIF(PresençaemNovembro[26],"E")</totalsRowFormula>
    </tableColumn>
    <tableColumn id="28" xr3:uid="{00000000-0010-0000-0400-00001C000000}" name="27" totalsRowFunction="custom" dataDxfId="719" totalsRowDxfId="718" dataCellStyle="Total" totalsRowCellStyle="Total">
      <totalsRowFormula>COUNTIF(PresençaemNovembro[27],"U")+COUNTIF(PresençaemNovembro[27],"E")</totalsRowFormula>
    </tableColumn>
    <tableColumn id="29" xr3:uid="{00000000-0010-0000-0400-00001D000000}" name="28" totalsRowFunction="custom" dataDxfId="717" totalsRowDxfId="716" dataCellStyle="Total" totalsRowCellStyle="Total">
      <totalsRowFormula>COUNTIF(PresençaemNovembro[28],"U")+COUNTIF(PresençaemNovembro[28],"E")</totalsRowFormula>
    </tableColumn>
    <tableColumn id="30" xr3:uid="{00000000-0010-0000-0400-00001E000000}" name="29" totalsRowFunction="custom" dataDxfId="715" totalsRowDxfId="714" dataCellStyle="Total" totalsRowCellStyle="Total">
      <totalsRowFormula>COUNTIF(PresençaemNovembro[29],"U")+COUNTIF(PresençaemNovembro[29],"E")</totalsRowFormula>
    </tableColumn>
    <tableColumn id="31" xr3:uid="{00000000-0010-0000-0400-00001F000000}" name="30" totalsRowFunction="custom" totalsRowDxfId="713" dataCellStyle="Total" totalsRowCellStyle="Total">
      <totalsRowFormula>COUNTIF(PresençaemNovembro[30],"U")+COUNTIF(PresençaemNovembro[30],"E")</totalsRowFormula>
    </tableColumn>
    <tableColumn id="32" xr3:uid="{00000000-0010-0000-0400-000020000000}" name=" " totalsRowFunction="custom" totalsRowDxfId="712" dataCellStyle="Total" totalsRowCellStyle="Total">
      <totalsRowFormula>COUNTIF(PresençaemNovembro[[ ]],"U")+COUNTIF(PresençaemNovembro[[ ]],"E")</totalsRowFormula>
    </tableColumn>
    <tableColumn id="35" xr3:uid="{00000000-0010-0000-0400-000023000000}" name="T" totalsRowFunction="sum" dataDxfId="711" totalsRowDxfId="710" dataCellStyle="Total" totalsRowCellStyle="Total">
      <calculatedColumnFormula>COUNTIF(PresençaemNovembro[[#This Row],[1]:[ ]],Código1)</calculatedColumnFormula>
    </tableColumn>
    <tableColumn id="34" xr3:uid="{00000000-0010-0000-0400-000022000000}" name="E" totalsRowFunction="sum" dataDxfId="709" totalsRowDxfId="708" dataCellStyle="Total" totalsRowCellStyle="Total">
      <calculatedColumnFormula>COUNTIF(PresençaemNovembro[[#This Row],[1]:[ ]],Código2)</calculatedColumnFormula>
    </tableColumn>
    <tableColumn id="37" xr3:uid="{00000000-0010-0000-0400-000025000000}" name="U" totalsRowFunction="sum" dataDxfId="707" totalsRowDxfId="706" dataCellStyle="Total" totalsRowCellStyle="Total">
      <calculatedColumnFormula>COUNTIF(PresençaemNovembro[[#This Row],[1]:[ ]],Código3)</calculatedColumnFormula>
    </tableColumn>
    <tableColumn id="36" xr3:uid="{00000000-0010-0000-0400-000024000000}" name="P" totalsRowFunction="sum" dataDxfId="705" totalsRowDxfId="704" dataCellStyle="Total" totalsRowCellStyle="Total">
      <calculatedColumnFormula>COUNTIF(PresençaemNovembro[[#This Row],[1]:[ ]],Código4)</calculatedColumnFormula>
    </tableColumn>
    <tableColumn id="33" xr3:uid="{00000000-0010-0000-0400-000021000000}" name="Dias de Ausência" totalsRowFunction="sum" totalsRowDxfId="703" dataCellStyle="Total" totalsRowCellStyle="Total">
      <calculatedColumnFormula>SUM(PresençaemNovembro[[#This Row],[E]:[U]])</calculatedColumnFormula>
    </tableColumn>
  </tableColumns>
  <tableStyleInfo name="Employee Absence Table" showFirstColumn="0" showLastColumn="1" showRowStripes="1" showColumnStripes="1"/>
  <extLst>
    <ext xmlns:x14="http://schemas.microsoft.com/office/spreadsheetml/2009/9/main" uri="{504A1905-F514-4f6f-8877-14C23A59335A}">
      <x14:table altText="Registro de Presença em Agosto" altTextSummary="Controla a presença do aluno, como T=Atrasado, E=Dispensado, U=Não Dispensado, P=Presente, N=Sem Aula no mês de novembro.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PresençaemDezembro" displayName="PresençaemDezembro" ref="B6:AM12" totalsRowCount="1" totalsRowDxfId="702" headerRowCellStyle="Total" dataCellStyle="Total" totalsRowCellStyle="Total">
  <tableColumns count="38">
    <tableColumn id="38" xr3:uid="{00000000-0010-0000-0500-000026000000}" name="ID do Aluno" totalsRowDxfId="701" dataCellStyle="Total" totalsRowCellStyle="Total"/>
    <tableColumn id="1" xr3:uid="{00000000-0010-0000-0500-000001000000}" name="Nome do Aluno" totalsRowLabel="Total de dias de ausência" dataDxfId="700" totalsRowDxfId="699" dataCellStyle="Total" totalsRowCellStyle="Total"/>
    <tableColumn id="2" xr3:uid="{00000000-0010-0000-0500-000002000000}" name="1" totalsRowFunction="custom" dataDxfId="698" totalsRowDxfId="697" dataCellStyle="Total" totalsRowCellStyle="Total">
      <totalsRowFormula>COUNTIF(PresençaemDezembro[1],"U")+COUNTIF(PresençaemDezembro[1],"E")</totalsRowFormula>
    </tableColumn>
    <tableColumn id="3" xr3:uid="{00000000-0010-0000-0500-000003000000}" name="2" totalsRowFunction="custom" dataDxfId="696" totalsRowDxfId="695" dataCellStyle="Total" totalsRowCellStyle="Total">
      <totalsRowFormula>COUNTIF(PresençaemDezembro[2],"U")+COUNTIF(PresençaemDezembro[2],"E")</totalsRowFormula>
    </tableColumn>
    <tableColumn id="4" xr3:uid="{00000000-0010-0000-0500-000004000000}" name="3" totalsRowFunction="custom" dataDxfId="694" totalsRowDxfId="693" dataCellStyle="Total" totalsRowCellStyle="Total">
      <totalsRowFormula>COUNTIF(PresençaemDezembro[3],"U")+COUNTIF(PresençaemDezembro[3],"E")</totalsRowFormula>
    </tableColumn>
    <tableColumn id="5" xr3:uid="{00000000-0010-0000-0500-000005000000}" name="4" totalsRowFunction="custom" dataDxfId="692" totalsRowDxfId="691" dataCellStyle="Total" totalsRowCellStyle="Total">
      <totalsRowFormula>COUNTIF(PresençaemDezembro[4],"U")+COUNTIF(PresençaemDezembro[4],"E")</totalsRowFormula>
    </tableColumn>
    <tableColumn id="6" xr3:uid="{00000000-0010-0000-0500-000006000000}" name="5" totalsRowFunction="custom" dataDxfId="690" totalsRowDxfId="689" dataCellStyle="Total" totalsRowCellStyle="Total">
      <totalsRowFormula>COUNTIF(PresençaemDezembro[5],"U")+COUNTIF(PresençaemDezembro[5],"E")</totalsRowFormula>
    </tableColumn>
    <tableColumn id="7" xr3:uid="{00000000-0010-0000-0500-000007000000}" name="6" totalsRowFunction="custom" dataDxfId="688" totalsRowDxfId="687" dataCellStyle="Total" totalsRowCellStyle="Total">
      <totalsRowFormula>COUNTIF(PresençaemDezembro[6],"U")+COUNTIF(PresençaemDezembro[6],"E")</totalsRowFormula>
    </tableColumn>
    <tableColumn id="8" xr3:uid="{00000000-0010-0000-0500-000008000000}" name="7" totalsRowFunction="custom" dataDxfId="686" totalsRowDxfId="685" dataCellStyle="Total" totalsRowCellStyle="Total">
      <totalsRowFormula>COUNTIF(PresençaemDezembro[7],"U")+COUNTIF(PresençaemDezembro[7],"E")</totalsRowFormula>
    </tableColumn>
    <tableColumn id="9" xr3:uid="{00000000-0010-0000-0500-000009000000}" name="8" totalsRowFunction="custom" dataDxfId="684" totalsRowDxfId="683" dataCellStyle="Total" totalsRowCellStyle="Total">
      <totalsRowFormula>COUNTIF(PresençaemDezembro[8],"U")+COUNTIF(PresençaemDezembro[8],"E")</totalsRowFormula>
    </tableColumn>
    <tableColumn id="10" xr3:uid="{00000000-0010-0000-0500-00000A000000}" name="9" totalsRowFunction="custom" dataDxfId="682" totalsRowDxfId="681" dataCellStyle="Total" totalsRowCellStyle="Total">
      <totalsRowFormula>COUNTIF(PresençaemDezembro[9],"U")+COUNTIF(PresençaemDezembro[9],"E")</totalsRowFormula>
    </tableColumn>
    <tableColumn id="11" xr3:uid="{00000000-0010-0000-0500-00000B000000}" name="10" totalsRowFunction="custom" dataDxfId="680" totalsRowDxfId="679" dataCellStyle="Total" totalsRowCellStyle="Total">
      <totalsRowFormula>COUNTIF(PresençaemDezembro[10],"U")+COUNTIF(PresençaemDezembro[10],"E")</totalsRowFormula>
    </tableColumn>
    <tableColumn id="12" xr3:uid="{00000000-0010-0000-0500-00000C000000}" name="11" totalsRowFunction="custom" dataDxfId="678" totalsRowDxfId="677" dataCellStyle="Total" totalsRowCellStyle="Total">
      <totalsRowFormula>COUNTIF(PresençaemDezembro[11],"U")+COUNTIF(PresençaemDezembro[11],"E")</totalsRowFormula>
    </tableColumn>
    <tableColumn id="13" xr3:uid="{00000000-0010-0000-0500-00000D000000}" name="12" totalsRowFunction="custom" dataDxfId="676" totalsRowDxfId="675" dataCellStyle="Total" totalsRowCellStyle="Total">
      <totalsRowFormula>COUNTIF(PresençaemDezembro[12],"U")+COUNTIF(PresençaemDezembro[12],"E")</totalsRowFormula>
    </tableColumn>
    <tableColumn id="14" xr3:uid="{00000000-0010-0000-0500-00000E000000}" name="13" totalsRowFunction="custom" dataDxfId="674" totalsRowDxfId="673" dataCellStyle="Total" totalsRowCellStyle="Total">
      <totalsRowFormula>COUNTIF(PresençaemDezembro[13],"U")+COUNTIF(PresençaemDezembro[13],"E")</totalsRowFormula>
    </tableColumn>
    <tableColumn id="15" xr3:uid="{00000000-0010-0000-0500-00000F000000}" name="14" totalsRowFunction="custom" dataDxfId="672" totalsRowDxfId="671" dataCellStyle="Total" totalsRowCellStyle="Total">
      <totalsRowFormula>COUNTIF(PresençaemDezembro[14],"U")+COUNTIF(PresençaemDezembro[14],"E")</totalsRowFormula>
    </tableColumn>
    <tableColumn id="16" xr3:uid="{00000000-0010-0000-0500-000010000000}" name="15" totalsRowFunction="custom" dataDxfId="670" totalsRowDxfId="669" dataCellStyle="Total" totalsRowCellStyle="Total">
      <totalsRowFormula>COUNTIF(PresençaemDezembro[15],"U")+COUNTIF(PresençaemDezembro[15],"E")</totalsRowFormula>
    </tableColumn>
    <tableColumn id="17" xr3:uid="{00000000-0010-0000-0500-000011000000}" name="16" totalsRowFunction="custom" dataDxfId="668" totalsRowDxfId="667" dataCellStyle="Total" totalsRowCellStyle="Total">
      <totalsRowFormula>COUNTIF(PresençaemDezembro[16],"U")+COUNTIF(PresençaemDezembro[16],"E")</totalsRowFormula>
    </tableColumn>
    <tableColumn id="18" xr3:uid="{00000000-0010-0000-0500-000012000000}" name="17" totalsRowFunction="custom" dataDxfId="666" totalsRowDxfId="665" dataCellStyle="Total" totalsRowCellStyle="Total">
      <totalsRowFormula>COUNTIF(PresençaemDezembro[17],"U")+COUNTIF(PresençaemDezembro[17],"E")</totalsRowFormula>
    </tableColumn>
    <tableColumn id="19" xr3:uid="{00000000-0010-0000-0500-000013000000}" name="18" totalsRowFunction="custom" dataDxfId="664" totalsRowDxfId="663" dataCellStyle="Total" totalsRowCellStyle="Total">
      <totalsRowFormula>COUNTIF(PresençaemDezembro[18],"U")+COUNTIF(PresençaemDezembro[18],"E")</totalsRowFormula>
    </tableColumn>
    <tableColumn id="20" xr3:uid="{00000000-0010-0000-0500-000014000000}" name="19" totalsRowFunction="custom" dataDxfId="662" totalsRowDxfId="661" dataCellStyle="Total" totalsRowCellStyle="Total">
      <totalsRowFormula>COUNTIF(PresençaemDezembro[19],"U")+COUNTIF(PresençaemDezembro[19],"E")</totalsRowFormula>
    </tableColumn>
    <tableColumn id="21" xr3:uid="{00000000-0010-0000-0500-000015000000}" name="20" totalsRowFunction="custom" dataDxfId="660" totalsRowDxfId="659" dataCellStyle="Total" totalsRowCellStyle="Total">
      <totalsRowFormula>COUNTIF(PresençaemDezembro[20],"U")+COUNTIF(PresençaemDezembro[20],"E")</totalsRowFormula>
    </tableColumn>
    <tableColumn id="22" xr3:uid="{00000000-0010-0000-0500-000016000000}" name="21" totalsRowFunction="custom" dataDxfId="658" totalsRowDxfId="657" dataCellStyle="Total" totalsRowCellStyle="Total">
      <totalsRowFormula>COUNTIF(PresençaemDezembro[21],"U")+COUNTIF(PresençaemDezembro[21],"E")</totalsRowFormula>
    </tableColumn>
    <tableColumn id="23" xr3:uid="{00000000-0010-0000-0500-000017000000}" name="22" totalsRowFunction="custom" dataDxfId="656" totalsRowDxfId="655" dataCellStyle="Total" totalsRowCellStyle="Total">
      <totalsRowFormula>COUNTIF(PresençaemDezembro[22],"U")+COUNTIF(PresençaemDezembro[22],"E")</totalsRowFormula>
    </tableColumn>
    <tableColumn id="24" xr3:uid="{00000000-0010-0000-0500-000018000000}" name="23" totalsRowFunction="custom" dataDxfId="654" totalsRowDxfId="653" dataCellStyle="Total" totalsRowCellStyle="Total">
      <totalsRowFormula>COUNTIF(PresençaemDezembro[23],"U")+COUNTIF(PresençaemDezembro[23],"E")</totalsRowFormula>
    </tableColumn>
    <tableColumn id="25" xr3:uid="{00000000-0010-0000-0500-000019000000}" name="24" totalsRowFunction="custom" dataDxfId="652" totalsRowDxfId="651" dataCellStyle="Total" totalsRowCellStyle="Total">
      <totalsRowFormula>COUNTIF(PresençaemDezembro[24],"U")+COUNTIF(PresençaemDezembro[24],"E")</totalsRowFormula>
    </tableColumn>
    <tableColumn id="26" xr3:uid="{00000000-0010-0000-0500-00001A000000}" name="25" totalsRowFunction="custom" dataDxfId="650" totalsRowDxfId="649" dataCellStyle="Total" totalsRowCellStyle="Total">
      <totalsRowFormula>COUNTIF(PresençaemDezembro[25],"U")+COUNTIF(PresençaemDezembro[25],"E")</totalsRowFormula>
    </tableColumn>
    <tableColumn id="27" xr3:uid="{00000000-0010-0000-0500-00001B000000}" name="26" totalsRowFunction="custom" dataDxfId="648" totalsRowDxfId="647" dataCellStyle="Total" totalsRowCellStyle="Total">
      <totalsRowFormula>COUNTIF(PresençaemDezembro[26],"U")+COUNTIF(PresençaemDezembro[26],"E")</totalsRowFormula>
    </tableColumn>
    <tableColumn id="28" xr3:uid="{00000000-0010-0000-0500-00001C000000}" name="27" totalsRowFunction="custom" dataDxfId="646" totalsRowDxfId="645" dataCellStyle="Total" totalsRowCellStyle="Total">
      <totalsRowFormula>COUNTIF(PresençaemDezembro[27],"U")+COUNTIF(PresençaemDezembro[27],"E")</totalsRowFormula>
    </tableColumn>
    <tableColumn id="29" xr3:uid="{00000000-0010-0000-0500-00001D000000}" name="28" totalsRowFunction="custom" dataDxfId="644" totalsRowDxfId="643" dataCellStyle="Total" totalsRowCellStyle="Total">
      <totalsRowFormula>COUNTIF(PresençaemDezembro[28],"U")+COUNTIF(PresençaemDezembro[28],"E")</totalsRowFormula>
    </tableColumn>
    <tableColumn id="30" xr3:uid="{00000000-0010-0000-0500-00001E000000}" name="29" totalsRowFunction="custom" dataDxfId="642" totalsRowDxfId="641" dataCellStyle="Total" totalsRowCellStyle="Total">
      <totalsRowFormula>COUNTIF(PresençaemDezembro[29],"U")+COUNTIF(PresençaemDezembro[29],"E")</totalsRowFormula>
    </tableColumn>
    <tableColumn id="31" xr3:uid="{00000000-0010-0000-0500-00001F000000}" name="30" totalsRowFunction="custom" totalsRowDxfId="640" dataCellStyle="Total" totalsRowCellStyle="Total">
      <totalsRowFormula>COUNTIF(PresençaemDezembro[30],"U")+COUNTIF(PresençaemDezembro[30],"E")</totalsRowFormula>
    </tableColumn>
    <tableColumn id="32" xr3:uid="{00000000-0010-0000-0500-000020000000}" name="31" totalsRowFunction="custom" totalsRowDxfId="639" dataCellStyle="Total" totalsRowCellStyle="Total">
      <totalsRowFormula>COUNTIF(PresençaemDezembro[31],"U")+COUNTIF(PresençaemDezembro[31],"E")</totalsRowFormula>
    </tableColumn>
    <tableColumn id="35" xr3:uid="{00000000-0010-0000-0500-000023000000}" name="T" totalsRowFunction="sum" dataDxfId="638" totalsRowDxfId="637" dataCellStyle="Total" totalsRowCellStyle="Total">
      <calculatedColumnFormula>COUNTIF(PresençaemDezembro[[#This Row],[1]:[31]],Código1)</calculatedColumnFormula>
    </tableColumn>
    <tableColumn id="34" xr3:uid="{00000000-0010-0000-0500-000022000000}" name="E" totalsRowFunction="sum" dataDxfId="636" totalsRowDxfId="635" dataCellStyle="Total" totalsRowCellStyle="Total">
      <calculatedColumnFormula>COUNTIF(PresençaemDezembro[[#This Row],[1]:[31]],Código2)</calculatedColumnFormula>
    </tableColumn>
    <tableColumn id="37" xr3:uid="{00000000-0010-0000-0500-000025000000}" name="U" totalsRowFunction="sum" dataDxfId="634" totalsRowDxfId="633" dataCellStyle="Total" totalsRowCellStyle="Total">
      <calculatedColumnFormula>COUNTIF(PresençaemDezembro[[#This Row],[1]:[31]],Código3)</calculatedColumnFormula>
    </tableColumn>
    <tableColumn id="36" xr3:uid="{00000000-0010-0000-0500-000024000000}" name="P" totalsRowFunction="sum" dataDxfId="632" totalsRowDxfId="631" dataCellStyle="Total" totalsRowCellStyle="Total">
      <calculatedColumnFormula>COUNTIF(PresençaemDezembro[[#This Row],[1]:[31]],Código4)</calculatedColumnFormula>
    </tableColumn>
    <tableColumn id="33" xr3:uid="{00000000-0010-0000-0500-000021000000}" name="Dias de Ausência" totalsRowFunction="sum" totalsRowDxfId="630" dataCellStyle="Total" totalsRowCellStyle="Total">
      <calculatedColumnFormula>SUM(PresençaemDezembro[[#This Row],[E]:[U]])</calculatedColumnFormula>
    </tableColumn>
  </tableColumns>
  <tableStyleInfo name="Employee Absence Table" showFirstColumn="0" showLastColumn="1" showRowStripes="1" showColumnStripes="1"/>
  <extLst>
    <ext xmlns:x14="http://schemas.microsoft.com/office/spreadsheetml/2009/9/main" uri="{504A1905-F514-4f6f-8877-14C23A59335A}">
      <x14:table altText="Registro de Presença em Agosto" altTextSummary="Controla a presença do aluno, como T=Atrasado, E=Dispensado, U=Não Dispensado, P=Presente, N=Sem Aula no mês de dezembro.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PresençaemJaneiro" displayName="PresençaemJaneiro" ref="B6:AM12" totalsRowCount="1" totalsRowDxfId="629" headerRowCellStyle="Total" dataCellStyle="Total" totalsRowCellStyle="Total">
  <tableColumns count="38">
    <tableColumn id="38" xr3:uid="{00000000-0010-0000-0600-000026000000}" name="ID do Aluno" dataDxfId="628" totalsRowDxfId="627" dataCellStyle="Total" totalsRowCellStyle="Total"/>
    <tableColumn id="1" xr3:uid="{00000000-0010-0000-0600-000001000000}" name="Nome do Aluno" totalsRowLabel="Total de dias de ausência" dataDxfId="626" totalsRowDxfId="625" dataCellStyle="Total" totalsRowCellStyle="Total"/>
    <tableColumn id="2" xr3:uid="{00000000-0010-0000-0600-000002000000}" name="1" totalsRowFunction="custom" dataDxfId="624" totalsRowDxfId="623" dataCellStyle="Total" totalsRowCellStyle="Total">
      <totalsRowFormula>COUNTIF(PresençaemJaneiro[1],"U")+COUNTIF(PresençaemJaneiro[1],"E")</totalsRowFormula>
    </tableColumn>
    <tableColumn id="3" xr3:uid="{00000000-0010-0000-0600-000003000000}" name="2" totalsRowFunction="custom" dataDxfId="622" totalsRowDxfId="621" dataCellStyle="Total" totalsRowCellStyle="Total">
      <totalsRowFormula>COUNTIF(PresençaemJaneiro[2],"U")+COUNTIF(PresençaemJaneiro[2],"E")</totalsRowFormula>
    </tableColumn>
    <tableColumn id="4" xr3:uid="{00000000-0010-0000-0600-000004000000}" name="3" totalsRowFunction="custom" dataDxfId="620" totalsRowDxfId="619" dataCellStyle="Total" totalsRowCellStyle="Total">
      <totalsRowFormula>COUNTIF(PresençaemJaneiro[3],"U")+COUNTIF(PresençaemJaneiro[3],"E")</totalsRowFormula>
    </tableColumn>
    <tableColumn id="5" xr3:uid="{00000000-0010-0000-0600-000005000000}" name="4" totalsRowFunction="custom" dataDxfId="618" totalsRowDxfId="617" dataCellStyle="Total" totalsRowCellStyle="Total">
      <totalsRowFormula>COUNTIF(PresençaemJaneiro[4],"U")+COUNTIF(PresençaemJaneiro[4],"E")</totalsRowFormula>
    </tableColumn>
    <tableColumn id="6" xr3:uid="{00000000-0010-0000-0600-000006000000}" name="5" totalsRowFunction="custom" dataDxfId="616" totalsRowDxfId="615" dataCellStyle="Total" totalsRowCellStyle="Total">
      <totalsRowFormula>COUNTIF(PresençaemJaneiro[5],"U")+COUNTIF(PresençaemJaneiro[5],"E")</totalsRowFormula>
    </tableColumn>
    <tableColumn id="7" xr3:uid="{00000000-0010-0000-0600-000007000000}" name="6" totalsRowFunction="custom" dataDxfId="614" totalsRowDxfId="613" dataCellStyle="Total" totalsRowCellStyle="Total">
      <totalsRowFormula>COUNTIF(PresençaemJaneiro[6],"U")+COUNTIF(PresençaemJaneiro[6],"E")</totalsRowFormula>
    </tableColumn>
    <tableColumn id="8" xr3:uid="{00000000-0010-0000-0600-000008000000}" name="7" totalsRowFunction="custom" dataDxfId="612" totalsRowDxfId="611" dataCellStyle="Total" totalsRowCellStyle="Total">
      <totalsRowFormula>COUNTIF(PresençaemJaneiro[7],"U")+COUNTIF(PresençaemJaneiro[7],"E")</totalsRowFormula>
    </tableColumn>
    <tableColumn id="9" xr3:uid="{00000000-0010-0000-0600-000009000000}" name="8" totalsRowFunction="custom" dataDxfId="610" totalsRowDxfId="609" dataCellStyle="Total" totalsRowCellStyle="Total">
      <totalsRowFormula>COUNTIF(PresençaemJaneiro[8],"U")+COUNTIF(PresençaemJaneiro[8],"E")</totalsRowFormula>
    </tableColumn>
    <tableColumn id="10" xr3:uid="{00000000-0010-0000-0600-00000A000000}" name="9" totalsRowFunction="custom" dataDxfId="608" totalsRowDxfId="607" dataCellStyle="Total" totalsRowCellStyle="Total">
      <totalsRowFormula>COUNTIF(PresençaemJaneiro[9],"U")+COUNTIF(PresençaemJaneiro[9],"E")</totalsRowFormula>
    </tableColumn>
    <tableColumn id="11" xr3:uid="{00000000-0010-0000-0600-00000B000000}" name="10" totalsRowFunction="custom" dataDxfId="606" totalsRowDxfId="605" dataCellStyle="Total" totalsRowCellStyle="Total">
      <totalsRowFormula>COUNTIF(PresençaemJaneiro[10],"U")+COUNTIF(PresençaemJaneiro[10],"E")</totalsRowFormula>
    </tableColumn>
    <tableColumn id="12" xr3:uid="{00000000-0010-0000-0600-00000C000000}" name="11" totalsRowFunction="custom" dataDxfId="604" totalsRowDxfId="603" dataCellStyle="Total" totalsRowCellStyle="Total">
      <totalsRowFormula>COUNTIF(PresençaemJaneiro[11],"U")+COUNTIF(PresençaemJaneiro[11],"E")</totalsRowFormula>
    </tableColumn>
    <tableColumn id="13" xr3:uid="{00000000-0010-0000-0600-00000D000000}" name="12" totalsRowFunction="custom" dataDxfId="602" totalsRowDxfId="601" dataCellStyle="Total" totalsRowCellStyle="Total">
      <totalsRowFormula>COUNTIF(PresençaemJaneiro[12],"U")+COUNTIF(PresençaemJaneiro[12],"E")</totalsRowFormula>
    </tableColumn>
    <tableColumn id="14" xr3:uid="{00000000-0010-0000-0600-00000E000000}" name="13" totalsRowFunction="custom" dataDxfId="600" totalsRowDxfId="599" dataCellStyle="Total" totalsRowCellStyle="Total">
      <totalsRowFormula>COUNTIF(PresençaemJaneiro[13],"U")+COUNTIF(PresençaemJaneiro[13],"E")</totalsRowFormula>
    </tableColumn>
    <tableColumn id="15" xr3:uid="{00000000-0010-0000-0600-00000F000000}" name="14" totalsRowFunction="custom" dataDxfId="598" totalsRowDxfId="597" dataCellStyle="Total" totalsRowCellStyle="Total">
      <totalsRowFormula>COUNTIF(PresençaemJaneiro[14],"U")+COUNTIF(PresençaemJaneiro[14],"E")</totalsRowFormula>
    </tableColumn>
    <tableColumn id="16" xr3:uid="{00000000-0010-0000-0600-000010000000}" name="15" totalsRowFunction="custom" dataDxfId="596" totalsRowDxfId="595" dataCellStyle="Total" totalsRowCellStyle="Total">
      <totalsRowFormula>COUNTIF(PresençaemJaneiro[15],"U")+COUNTIF(PresençaemJaneiro[15],"E")</totalsRowFormula>
    </tableColumn>
    <tableColumn id="17" xr3:uid="{00000000-0010-0000-0600-000011000000}" name="16" totalsRowFunction="custom" dataDxfId="594" totalsRowDxfId="593" dataCellStyle="Total" totalsRowCellStyle="Total">
      <totalsRowFormula>COUNTIF(PresençaemJaneiro[16],"U")+COUNTIF(PresençaemJaneiro[16],"E")</totalsRowFormula>
    </tableColumn>
    <tableColumn id="18" xr3:uid="{00000000-0010-0000-0600-000012000000}" name="17" totalsRowFunction="custom" dataDxfId="592" totalsRowDxfId="591" dataCellStyle="Total" totalsRowCellStyle="Total">
      <totalsRowFormula>COUNTIF(PresençaemJaneiro[17],"U")+COUNTIF(PresençaemJaneiro[17],"E")</totalsRowFormula>
    </tableColumn>
    <tableColumn id="19" xr3:uid="{00000000-0010-0000-0600-000013000000}" name="18" totalsRowFunction="custom" dataDxfId="590" totalsRowDxfId="589" dataCellStyle="Total" totalsRowCellStyle="Total">
      <totalsRowFormula>COUNTIF(PresençaemJaneiro[18],"U")+COUNTIF(PresençaemJaneiro[18],"E")</totalsRowFormula>
    </tableColumn>
    <tableColumn id="20" xr3:uid="{00000000-0010-0000-0600-000014000000}" name="19" totalsRowFunction="custom" dataDxfId="588" totalsRowDxfId="587" dataCellStyle="Total" totalsRowCellStyle="Total">
      <totalsRowFormula>COUNTIF(PresençaemJaneiro[19],"U")+COUNTIF(PresençaemJaneiro[19],"E")</totalsRowFormula>
    </tableColumn>
    <tableColumn id="21" xr3:uid="{00000000-0010-0000-0600-000015000000}" name="20" totalsRowFunction="custom" dataDxfId="586" totalsRowDxfId="585" dataCellStyle="Total" totalsRowCellStyle="Total">
      <totalsRowFormula>COUNTIF(PresençaemJaneiro[20],"U")+COUNTIF(PresençaemJaneiro[20],"E")</totalsRowFormula>
    </tableColumn>
    <tableColumn id="22" xr3:uid="{00000000-0010-0000-0600-000016000000}" name="21" totalsRowFunction="custom" dataDxfId="584" totalsRowDxfId="583" dataCellStyle="Total" totalsRowCellStyle="Total">
      <totalsRowFormula>COUNTIF(PresençaemJaneiro[21],"U")+COUNTIF(PresençaemJaneiro[21],"E")</totalsRowFormula>
    </tableColumn>
    <tableColumn id="23" xr3:uid="{00000000-0010-0000-0600-000017000000}" name="22" totalsRowFunction="custom" dataDxfId="582" totalsRowDxfId="581" dataCellStyle="Total" totalsRowCellStyle="Total">
      <totalsRowFormula>COUNTIF(PresençaemJaneiro[22],"U")+COUNTIF(PresençaemJaneiro[22],"E")</totalsRowFormula>
    </tableColumn>
    <tableColumn id="24" xr3:uid="{00000000-0010-0000-0600-000018000000}" name="23" totalsRowFunction="custom" dataDxfId="580" totalsRowDxfId="579" dataCellStyle="Total" totalsRowCellStyle="Total">
      <totalsRowFormula>COUNTIF(PresençaemJaneiro[23],"U")+COUNTIF(PresençaemJaneiro[23],"E")</totalsRowFormula>
    </tableColumn>
    <tableColumn id="25" xr3:uid="{00000000-0010-0000-0600-000019000000}" name="24" totalsRowFunction="custom" dataDxfId="578" totalsRowDxfId="577" dataCellStyle="Total" totalsRowCellStyle="Total">
      <totalsRowFormula>COUNTIF(PresençaemJaneiro[24],"U")+COUNTIF(PresençaemJaneiro[24],"E")</totalsRowFormula>
    </tableColumn>
    <tableColumn id="26" xr3:uid="{00000000-0010-0000-0600-00001A000000}" name="25" totalsRowFunction="custom" dataDxfId="576" totalsRowDxfId="575" dataCellStyle="Total" totalsRowCellStyle="Total">
      <totalsRowFormula>COUNTIF(PresençaemJaneiro[25],"U")+COUNTIF(PresençaemJaneiro[25],"E")</totalsRowFormula>
    </tableColumn>
    <tableColumn id="27" xr3:uid="{00000000-0010-0000-0600-00001B000000}" name="26" totalsRowFunction="custom" dataDxfId="574" totalsRowDxfId="573" dataCellStyle="Total" totalsRowCellStyle="Total">
      <totalsRowFormula>COUNTIF(PresençaemJaneiro[26],"U")+COUNTIF(PresençaemJaneiro[26],"E")</totalsRowFormula>
    </tableColumn>
    <tableColumn id="28" xr3:uid="{00000000-0010-0000-0600-00001C000000}" name="27" totalsRowFunction="custom" dataDxfId="572" totalsRowDxfId="571" dataCellStyle="Total" totalsRowCellStyle="Total">
      <totalsRowFormula>COUNTIF(PresençaemJaneiro[27],"U")+COUNTIF(PresençaemJaneiro[27],"E")</totalsRowFormula>
    </tableColumn>
    <tableColumn id="29" xr3:uid="{00000000-0010-0000-0600-00001D000000}" name="28" totalsRowFunction="custom" dataDxfId="570" totalsRowDxfId="569" dataCellStyle="Total" totalsRowCellStyle="Total">
      <totalsRowFormula>COUNTIF(PresençaemJaneiro[28],"U")+COUNTIF(PresençaemJaneiro[28],"E")</totalsRowFormula>
    </tableColumn>
    <tableColumn id="30" xr3:uid="{00000000-0010-0000-0600-00001E000000}" name="29" totalsRowFunction="custom" dataDxfId="568" totalsRowDxfId="567" dataCellStyle="Total" totalsRowCellStyle="Total">
      <totalsRowFormula>COUNTIF(PresençaemJaneiro[29],"U")+COUNTIF(PresençaemJaneiro[29],"E")</totalsRowFormula>
    </tableColumn>
    <tableColumn id="31" xr3:uid="{00000000-0010-0000-0600-00001F000000}" name="30" dataDxfId="566" totalsRowDxfId="565" dataCellStyle="Total" totalsRowCellStyle="Total"/>
    <tableColumn id="32" xr3:uid="{00000000-0010-0000-0600-000020000000}" name="31" dataDxfId="564" totalsRowDxfId="563" dataCellStyle="Total" totalsRowCellStyle="Total"/>
    <tableColumn id="35" xr3:uid="{00000000-0010-0000-0600-000023000000}" name="T" totalsRowFunction="sum" dataDxfId="562" totalsRowDxfId="561" dataCellStyle="Total" totalsRowCellStyle="Total">
      <calculatedColumnFormula>COUNTIF(PresençaemJaneiro[[#This Row],[1]:[31]],Código1)</calculatedColumnFormula>
    </tableColumn>
    <tableColumn id="34" xr3:uid="{00000000-0010-0000-0600-000022000000}" name="E" totalsRowFunction="sum" dataDxfId="560" totalsRowDxfId="559" dataCellStyle="Total" totalsRowCellStyle="Total">
      <calculatedColumnFormula>COUNTIF(PresençaemJaneiro[[#This Row],[1]:[31]],Código2)</calculatedColumnFormula>
    </tableColumn>
    <tableColumn id="37" xr3:uid="{00000000-0010-0000-0600-000025000000}" name="F" totalsRowFunction="sum" dataDxfId="558" totalsRowDxfId="557" dataCellStyle="Total" totalsRowCellStyle="Total">
      <calculatedColumnFormula>COUNTIF(PresençaemJaneiro[[#This Row],[1]:[31]],Código3)</calculatedColumnFormula>
    </tableColumn>
    <tableColumn id="36" xr3:uid="{00000000-0010-0000-0600-000024000000}" name="P" totalsRowFunction="sum" dataDxfId="556" totalsRowDxfId="555" dataCellStyle="Total" totalsRowCellStyle="Total">
      <calculatedColumnFormula>COUNTIF(PresençaemJaneiro[[#This Row],[1]:[31]],Código4)</calculatedColumnFormula>
    </tableColumn>
    <tableColumn id="33" xr3:uid="{00000000-0010-0000-0600-000021000000}" name="Dias de Ausência" totalsRowFunction="sum" dataDxfId="554" totalsRowDxfId="553" dataCellStyle="Total" totalsRowCellStyle="Total">
      <calculatedColumnFormula>SUM(PresençaemJaneiro[[#This Row],[E]:[F]])</calculatedColumnFormula>
    </tableColumn>
  </tableColumns>
  <tableStyleInfo name="Employee Absence Table" showFirstColumn="0" showLastColumn="0" showRowStripes="1" showColumnStripes="1"/>
  <extLst>
    <ext xmlns:x14="http://schemas.microsoft.com/office/spreadsheetml/2009/9/main" uri="{504A1905-F514-4f6f-8877-14C23A59335A}">
      <x14:table altText="Registro de Presença em Fevereiro" altTextSummary="Controla a presença do aluno, como T=Atrasado, E=Dispensado, U=Não Dispensado, P=Presente, N=Sem Aula no mês de janeiro.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7000000}" name="PresençaemFevereiro" displayName="PresençaemFevereiro" ref="B6:AM12" totalsRowCount="1" totalsRowDxfId="552" headerRowCellStyle="Total" dataCellStyle="Total" totalsRowCellStyle="Total">
  <tableColumns count="38">
    <tableColumn id="38" xr3:uid="{00000000-0010-0000-0700-000026000000}" name="ID do Aluno" dataDxfId="551" totalsRowDxfId="550" dataCellStyle="Total" totalsRowCellStyle="Total"/>
    <tableColumn id="1" xr3:uid="{00000000-0010-0000-0700-000001000000}" name="Nome do Aluno" totalsRowLabel="Total de dias de ausência" dataDxfId="549" totalsRowDxfId="548" dataCellStyle="Total" totalsRowCellStyle="Total"/>
    <tableColumn id="2" xr3:uid="{00000000-0010-0000-0700-000002000000}" name="1" totalsRowFunction="custom" dataDxfId="547" totalsRowDxfId="546" dataCellStyle="Total" totalsRowCellStyle="Total">
      <totalsRowFormula>COUNTIF(PresençaemFevereiro[1],"U")+COUNTIF(PresençaemFevereiro[1],"E")</totalsRowFormula>
    </tableColumn>
    <tableColumn id="3" xr3:uid="{00000000-0010-0000-0700-000003000000}" name="2" totalsRowFunction="custom" dataDxfId="545" totalsRowDxfId="544" dataCellStyle="Total" totalsRowCellStyle="Total">
      <totalsRowFormula>COUNTIF(PresençaemFevereiro[2],"U")+COUNTIF(PresençaemFevereiro[2],"E")</totalsRowFormula>
    </tableColumn>
    <tableColumn id="4" xr3:uid="{00000000-0010-0000-0700-000004000000}" name="3" totalsRowFunction="custom" dataDxfId="543" totalsRowDxfId="542" dataCellStyle="Total" totalsRowCellStyle="Total">
      <totalsRowFormula>COUNTIF(PresençaemFevereiro[3],"U")+COUNTIF(PresençaemFevereiro[3],"E")</totalsRowFormula>
    </tableColumn>
    <tableColumn id="5" xr3:uid="{00000000-0010-0000-0700-000005000000}" name="4" totalsRowFunction="custom" dataDxfId="541" totalsRowDxfId="540" dataCellStyle="Total" totalsRowCellStyle="Total">
      <totalsRowFormula>COUNTIF(PresençaemFevereiro[4],"U")+COUNTIF(PresençaemFevereiro[4],"E")</totalsRowFormula>
    </tableColumn>
    <tableColumn id="6" xr3:uid="{00000000-0010-0000-0700-000006000000}" name="5" totalsRowFunction="custom" dataDxfId="539" totalsRowDxfId="538" dataCellStyle="Total" totalsRowCellStyle="Total">
      <totalsRowFormula>COUNTIF(PresençaemFevereiro[5],"U")+COUNTIF(PresençaemFevereiro[5],"E")</totalsRowFormula>
    </tableColumn>
    <tableColumn id="7" xr3:uid="{00000000-0010-0000-0700-000007000000}" name="6" totalsRowFunction="custom" dataDxfId="537" totalsRowDxfId="536" dataCellStyle="Total" totalsRowCellStyle="Total">
      <totalsRowFormula>COUNTIF(PresençaemFevereiro[6],"U")+COUNTIF(PresençaemFevereiro[6],"E")</totalsRowFormula>
    </tableColumn>
    <tableColumn id="8" xr3:uid="{00000000-0010-0000-0700-000008000000}" name="7" totalsRowFunction="custom" dataDxfId="535" totalsRowDxfId="534" dataCellStyle="Total" totalsRowCellStyle="Total">
      <totalsRowFormula>COUNTIF(PresençaemFevereiro[7],"U")+COUNTIF(PresençaemFevereiro[7],"E")</totalsRowFormula>
    </tableColumn>
    <tableColumn id="9" xr3:uid="{00000000-0010-0000-0700-000009000000}" name="8" totalsRowFunction="custom" dataDxfId="533" totalsRowDxfId="532" dataCellStyle="Total" totalsRowCellStyle="Total">
      <totalsRowFormula>COUNTIF(PresençaemFevereiro[8],"U")+COUNTIF(PresençaemFevereiro[8],"E")</totalsRowFormula>
    </tableColumn>
    <tableColumn id="10" xr3:uid="{00000000-0010-0000-0700-00000A000000}" name="9" totalsRowFunction="custom" dataDxfId="531" totalsRowDxfId="530" dataCellStyle="Total" totalsRowCellStyle="Total">
      <totalsRowFormula>COUNTIF(PresençaemFevereiro[9],"U")+COUNTIF(PresençaemFevereiro[9],"E")</totalsRowFormula>
    </tableColumn>
    <tableColumn id="11" xr3:uid="{00000000-0010-0000-0700-00000B000000}" name="10" totalsRowFunction="custom" dataDxfId="529" totalsRowDxfId="528" dataCellStyle="Total" totalsRowCellStyle="Total">
      <totalsRowFormula>COUNTIF(PresençaemFevereiro[10],"U")+COUNTIF(PresençaemFevereiro[10],"E")</totalsRowFormula>
    </tableColumn>
    <tableColumn id="12" xr3:uid="{00000000-0010-0000-0700-00000C000000}" name="11" totalsRowFunction="custom" dataDxfId="527" totalsRowDxfId="526" dataCellStyle="Total" totalsRowCellStyle="Total">
      <totalsRowFormula>COUNTIF(PresençaemFevereiro[11],"U")+COUNTIF(PresençaemFevereiro[11],"E")</totalsRowFormula>
    </tableColumn>
    <tableColumn id="13" xr3:uid="{00000000-0010-0000-0700-00000D000000}" name="12" totalsRowFunction="custom" dataDxfId="525" totalsRowDxfId="524" dataCellStyle="Total" totalsRowCellStyle="Total">
      <totalsRowFormula>COUNTIF(PresençaemFevereiro[12],"U")+COUNTIF(PresençaemFevereiro[12],"E")</totalsRowFormula>
    </tableColumn>
    <tableColumn id="14" xr3:uid="{00000000-0010-0000-0700-00000E000000}" name="13" totalsRowFunction="custom" dataDxfId="523" totalsRowDxfId="522" dataCellStyle="Total" totalsRowCellStyle="Total">
      <totalsRowFormula>COUNTIF(PresençaemFevereiro[13],"U")+COUNTIF(PresençaemFevereiro[13],"E")</totalsRowFormula>
    </tableColumn>
    <tableColumn id="15" xr3:uid="{00000000-0010-0000-0700-00000F000000}" name="14" totalsRowFunction="custom" dataDxfId="521" totalsRowDxfId="520" dataCellStyle="Total" totalsRowCellStyle="Total">
      <totalsRowFormula>COUNTIF(PresençaemFevereiro[14],"U")+COUNTIF(PresençaemFevereiro[14],"E")</totalsRowFormula>
    </tableColumn>
    <tableColumn id="16" xr3:uid="{00000000-0010-0000-0700-000010000000}" name="15" totalsRowFunction="custom" dataDxfId="519" totalsRowDxfId="518" dataCellStyle="Total" totalsRowCellStyle="Total">
      <totalsRowFormula>COUNTIF(PresençaemFevereiro[15],"U")+COUNTIF(PresençaemFevereiro[15],"E")</totalsRowFormula>
    </tableColumn>
    <tableColumn id="17" xr3:uid="{00000000-0010-0000-0700-000011000000}" name="16" totalsRowFunction="custom" dataDxfId="517" totalsRowDxfId="516" dataCellStyle="Total" totalsRowCellStyle="Total">
      <totalsRowFormula>COUNTIF(PresençaemFevereiro[16],"U")+COUNTIF(PresençaemFevereiro[16],"E")</totalsRowFormula>
    </tableColumn>
    <tableColumn id="18" xr3:uid="{00000000-0010-0000-0700-000012000000}" name="17" totalsRowFunction="custom" dataDxfId="515" totalsRowDxfId="514" dataCellStyle="Total" totalsRowCellStyle="Total">
      <totalsRowFormula>COUNTIF(PresençaemFevereiro[17],"U")+COUNTIF(PresençaemFevereiro[17],"E")</totalsRowFormula>
    </tableColumn>
    <tableColumn id="19" xr3:uid="{00000000-0010-0000-0700-000013000000}" name="18" totalsRowFunction="custom" dataDxfId="513" totalsRowDxfId="512" dataCellStyle="Total" totalsRowCellStyle="Total">
      <totalsRowFormula>COUNTIF(PresençaemFevereiro[18],"U")+COUNTIF(PresençaemFevereiro[18],"E")</totalsRowFormula>
    </tableColumn>
    <tableColumn id="20" xr3:uid="{00000000-0010-0000-0700-000014000000}" name="19" totalsRowFunction="custom" dataDxfId="511" totalsRowDxfId="510" dataCellStyle="Total" totalsRowCellStyle="Total">
      <totalsRowFormula>COUNTIF(PresençaemFevereiro[19],"U")+COUNTIF(PresençaemFevereiro[19],"E")</totalsRowFormula>
    </tableColumn>
    <tableColumn id="21" xr3:uid="{00000000-0010-0000-0700-000015000000}" name="20" totalsRowFunction="custom" dataDxfId="509" totalsRowDxfId="508" dataCellStyle="Total" totalsRowCellStyle="Total">
      <totalsRowFormula>COUNTIF(PresençaemFevereiro[20],"U")+COUNTIF(PresençaemFevereiro[20],"E")</totalsRowFormula>
    </tableColumn>
    <tableColumn id="22" xr3:uid="{00000000-0010-0000-0700-000016000000}" name="21" totalsRowFunction="custom" dataDxfId="507" totalsRowDxfId="506" dataCellStyle="Total" totalsRowCellStyle="Total">
      <totalsRowFormula>COUNTIF(PresençaemFevereiro[21],"U")+COUNTIF(PresençaemFevereiro[21],"E")</totalsRowFormula>
    </tableColumn>
    <tableColumn id="23" xr3:uid="{00000000-0010-0000-0700-000017000000}" name="22" totalsRowFunction="custom" dataDxfId="505" totalsRowDxfId="504" dataCellStyle="Total" totalsRowCellStyle="Total">
      <totalsRowFormula>COUNTIF(PresençaemFevereiro[22],"U")+COUNTIF(PresençaemFevereiro[22],"E")</totalsRowFormula>
    </tableColumn>
    <tableColumn id="24" xr3:uid="{00000000-0010-0000-0700-000018000000}" name="23" totalsRowFunction="custom" dataDxfId="503" totalsRowDxfId="502" dataCellStyle="Total" totalsRowCellStyle="Total">
      <totalsRowFormula>COUNTIF(PresençaemFevereiro[23],"U")+COUNTIF(PresençaemFevereiro[23],"E")</totalsRowFormula>
    </tableColumn>
    <tableColumn id="25" xr3:uid="{00000000-0010-0000-0700-000019000000}" name="24" totalsRowFunction="custom" dataDxfId="501" totalsRowDxfId="500" dataCellStyle="Total" totalsRowCellStyle="Total">
      <totalsRowFormula>COUNTIF(PresençaemFevereiro[24],"U")+COUNTIF(PresençaemFevereiro[24],"E")</totalsRowFormula>
    </tableColumn>
    <tableColumn id="26" xr3:uid="{00000000-0010-0000-0700-00001A000000}" name="25" totalsRowFunction="custom" dataDxfId="499" totalsRowDxfId="498" dataCellStyle="Total" totalsRowCellStyle="Total">
      <totalsRowFormula>COUNTIF(PresençaemFevereiro[25],"U")+COUNTIF(PresençaemFevereiro[25],"E")</totalsRowFormula>
    </tableColumn>
    <tableColumn id="27" xr3:uid="{00000000-0010-0000-0700-00001B000000}" name="26" totalsRowFunction="custom" dataDxfId="497" totalsRowDxfId="496" dataCellStyle="Total" totalsRowCellStyle="Total">
      <totalsRowFormula>COUNTIF(PresençaemFevereiro[26],"U")+COUNTIF(PresençaemFevereiro[26],"E")</totalsRowFormula>
    </tableColumn>
    <tableColumn id="28" xr3:uid="{00000000-0010-0000-0700-00001C000000}" name="27" totalsRowFunction="custom" dataDxfId="495" totalsRowDxfId="494" dataCellStyle="Total" totalsRowCellStyle="Total">
      <totalsRowFormula>COUNTIF(PresençaemFevereiro[27],"U")+COUNTIF(PresençaemFevereiro[27],"E")</totalsRowFormula>
    </tableColumn>
    <tableColumn id="29" xr3:uid="{00000000-0010-0000-0700-00001D000000}" name="28" totalsRowFunction="custom" dataDxfId="493" totalsRowDxfId="492" dataCellStyle="Total" totalsRowCellStyle="Total">
      <totalsRowFormula>COUNTIF(PresençaemFevereiro[28],"U")+COUNTIF(PresençaemFevereiro[28],"E")</totalsRowFormula>
    </tableColumn>
    <tableColumn id="30" xr3:uid="{00000000-0010-0000-0700-00001E000000}" name="29" totalsRowFunction="custom" dataDxfId="491" totalsRowDxfId="490" dataCellStyle="Total" totalsRowCellStyle="Total">
      <totalsRowFormula>COUNTIF(PresençaemFevereiro[29],"U")+COUNTIF(PresençaemFevereiro[29],"E")</totalsRowFormula>
    </tableColumn>
    <tableColumn id="31" xr3:uid="{00000000-0010-0000-0700-00001F000000}" name="30" dataDxfId="489" totalsRowDxfId="488" dataCellStyle="Total" totalsRowCellStyle="Total"/>
    <tableColumn id="32" xr3:uid="{00000000-0010-0000-0700-000020000000}" name="31" dataDxfId="487" totalsRowDxfId="486" dataCellStyle="Total" totalsRowCellStyle="Total"/>
    <tableColumn id="35" xr3:uid="{00000000-0010-0000-0700-000023000000}" name="T" totalsRowFunction="sum" dataDxfId="485" totalsRowDxfId="484" dataCellStyle="Total" totalsRowCellStyle="Total">
      <calculatedColumnFormula>COUNTIF(PresençaemFevereiro[[#This Row],[1]:[31]],Código1)</calculatedColumnFormula>
    </tableColumn>
    <tableColumn id="34" xr3:uid="{00000000-0010-0000-0700-000022000000}" name="E" totalsRowFunction="sum" dataDxfId="483" totalsRowDxfId="482" dataCellStyle="Total" totalsRowCellStyle="Total">
      <calculatedColumnFormula>COUNTIF(PresençaemFevereiro[[#This Row],[1]:[31]],Código2)</calculatedColumnFormula>
    </tableColumn>
    <tableColumn id="37" xr3:uid="{00000000-0010-0000-0700-000025000000}" name="F" totalsRowFunction="sum" dataDxfId="481" totalsRowDxfId="480" dataCellStyle="Total" totalsRowCellStyle="Total">
      <calculatedColumnFormula>COUNTIF(PresençaemFevereiro[[#This Row],[1]:[31]],Código3)</calculatedColumnFormula>
    </tableColumn>
    <tableColumn id="36" xr3:uid="{00000000-0010-0000-0700-000024000000}" name="P" totalsRowFunction="sum" dataDxfId="479" totalsRowDxfId="478" dataCellStyle="Total" totalsRowCellStyle="Total">
      <calculatedColumnFormula>COUNTIF(PresençaemFevereiro[[#This Row],[1]:[31]],Código4)</calculatedColumnFormula>
    </tableColumn>
    <tableColumn id="33" xr3:uid="{00000000-0010-0000-0700-000021000000}" name="Dias de Ausência" totalsRowFunction="sum" dataDxfId="477" totalsRowDxfId="476" dataCellStyle="Total" totalsRowCellStyle="Total">
      <calculatedColumnFormula>SUM(PresençaemFevereiro[[#This Row],[E]:[F]])</calculatedColumnFormula>
    </tableColumn>
  </tableColumns>
  <tableStyleInfo name="Employee Absence Table" showFirstColumn="0" showLastColumn="0" showRowStripes="1" showColumnStripes="1"/>
  <extLst>
    <ext xmlns:x14="http://schemas.microsoft.com/office/spreadsheetml/2009/9/main" uri="{504A1905-F514-4f6f-8877-14C23A59335A}">
      <x14:table altText="Registro de Presença em Fevereiro" altTextSummary="Controla a presença do aluno, como T=Atrasado, E=Dispensado, U=Não Dispensado, P=Presente, N=Sem Aula no mês de fevereiro.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PresençaemMarço" displayName="PresençaemMarço" ref="B6:AM12" totalsRowCount="1" totalsRowDxfId="475" headerRowCellStyle="Total" dataCellStyle="Total" totalsRowCellStyle="Total">
  <tableColumns count="38">
    <tableColumn id="38" xr3:uid="{00000000-0010-0000-0800-000026000000}" name="ID do Aluno" dataDxfId="474" totalsRowDxfId="473" dataCellStyle="Total" totalsRowCellStyle="Total"/>
    <tableColumn id="1" xr3:uid="{00000000-0010-0000-0800-000001000000}" name="Nome do Aluno" totalsRowLabel="Total de dias de ausência" dataDxfId="472" totalsRowDxfId="471" dataCellStyle="Total" totalsRowCellStyle="Total"/>
    <tableColumn id="2" xr3:uid="{00000000-0010-0000-0800-000002000000}" name="1" totalsRowFunction="custom" dataDxfId="470" totalsRowDxfId="469" dataCellStyle="Total" totalsRowCellStyle="Total">
      <totalsRowFormula>COUNTIF(PresençaemMarço[1],"U")+COUNTIF(PresençaemMarço[1],"E")</totalsRowFormula>
    </tableColumn>
    <tableColumn id="3" xr3:uid="{00000000-0010-0000-0800-000003000000}" name="2" totalsRowFunction="custom" dataDxfId="468" totalsRowDxfId="467" dataCellStyle="Total" totalsRowCellStyle="Total">
      <totalsRowFormula>COUNTIF(PresençaemMarço[2],"U")+COUNTIF(PresençaemMarço[2],"E")</totalsRowFormula>
    </tableColumn>
    <tableColumn id="4" xr3:uid="{00000000-0010-0000-0800-000004000000}" name="3" totalsRowFunction="custom" dataDxfId="466" totalsRowDxfId="465" dataCellStyle="Total" totalsRowCellStyle="Total">
      <totalsRowFormula>COUNTIF(PresençaemMarço[3],"U")+COUNTIF(PresençaemMarço[3],"E")</totalsRowFormula>
    </tableColumn>
    <tableColumn id="5" xr3:uid="{00000000-0010-0000-0800-000005000000}" name="4" totalsRowFunction="custom" dataDxfId="464" totalsRowDxfId="463" dataCellStyle="Total" totalsRowCellStyle="Total">
      <totalsRowFormula>COUNTIF(PresençaemMarço[4],"U")+COUNTIF(PresençaemMarço[4],"E")</totalsRowFormula>
    </tableColumn>
    <tableColumn id="6" xr3:uid="{00000000-0010-0000-0800-000006000000}" name="5" totalsRowFunction="custom" dataDxfId="462" totalsRowDxfId="461" dataCellStyle="Total" totalsRowCellStyle="Total">
      <totalsRowFormula>COUNTIF(PresençaemMarço[5],"U")+COUNTIF(PresençaemMarço[5],"E")</totalsRowFormula>
    </tableColumn>
    <tableColumn id="7" xr3:uid="{00000000-0010-0000-0800-000007000000}" name="6" totalsRowFunction="custom" dataDxfId="460" totalsRowDxfId="459" dataCellStyle="Total" totalsRowCellStyle="Total">
      <totalsRowFormula>COUNTIF(PresençaemMarço[6],"U")+COUNTIF(PresençaemMarço[6],"E")</totalsRowFormula>
    </tableColumn>
    <tableColumn id="8" xr3:uid="{00000000-0010-0000-0800-000008000000}" name="7" totalsRowFunction="custom" dataDxfId="458" totalsRowDxfId="457" dataCellStyle="Total" totalsRowCellStyle="Total">
      <totalsRowFormula>COUNTIF(PresençaemMarço[7],"U")+COUNTIF(PresençaemMarço[7],"E")</totalsRowFormula>
    </tableColumn>
    <tableColumn id="9" xr3:uid="{00000000-0010-0000-0800-000009000000}" name="8" totalsRowFunction="custom" dataDxfId="456" totalsRowDxfId="455" dataCellStyle="Total" totalsRowCellStyle="Total">
      <totalsRowFormula>COUNTIF(PresençaemMarço[8],"U")+COUNTIF(PresençaemMarço[8],"E")</totalsRowFormula>
    </tableColumn>
    <tableColumn id="10" xr3:uid="{00000000-0010-0000-0800-00000A000000}" name="9" totalsRowFunction="custom" dataDxfId="454" totalsRowDxfId="453" dataCellStyle="Total" totalsRowCellStyle="Total">
      <totalsRowFormula>COUNTIF(PresençaemMarço[9],"U")+COUNTIF(PresençaemMarço[9],"E")</totalsRowFormula>
    </tableColumn>
    <tableColumn id="11" xr3:uid="{00000000-0010-0000-0800-00000B000000}" name="10" totalsRowFunction="custom" dataDxfId="452" totalsRowDxfId="451" dataCellStyle="Total" totalsRowCellStyle="Total">
      <totalsRowFormula>COUNTIF(PresençaemMarço[10],"U")+COUNTIF(PresençaemMarço[10],"E")</totalsRowFormula>
    </tableColumn>
    <tableColumn id="12" xr3:uid="{00000000-0010-0000-0800-00000C000000}" name="11" totalsRowFunction="custom" dataDxfId="450" totalsRowDxfId="449" dataCellStyle="Total" totalsRowCellStyle="Total">
      <totalsRowFormula>COUNTIF(PresençaemMarço[11],"U")+COUNTIF(PresençaemMarço[11],"E")</totalsRowFormula>
    </tableColumn>
    <tableColumn id="13" xr3:uid="{00000000-0010-0000-0800-00000D000000}" name="12" totalsRowFunction="custom" dataDxfId="448" totalsRowDxfId="447" dataCellStyle="Total" totalsRowCellStyle="Total">
      <totalsRowFormula>COUNTIF(PresençaemMarço[12],"U")+COUNTIF(PresençaemMarço[12],"E")</totalsRowFormula>
    </tableColumn>
    <tableColumn id="14" xr3:uid="{00000000-0010-0000-0800-00000E000000}" name="13" totalsRowFunction="custom" dataDxfId="446" totalsRowDxfId="445" dataCellStyle="Total" totalsRowCellStyle="Total">
      <totalsRowFormula>COUNTIF(PresençaemMarço[13],"U")+COUNTIF(PresençaemMarço[13],"E")</totalsRowFormula>
    </tableColumn>
    <tableColumn id="15" xr3:uid="{00000000-0010-0000-0800-00000F000000}" name="14" totalsRowFunction="custom" dataDxfId="444" totalsRowDxfId="443" dataCellStyle="Total" totalsRowCellStyle="Total">
      <totalsRowFormula>COUNTIF(PresençaemMarço[14],"U")+COUNTIF(PresençaemMarço[14],"E")</totalsRowFormula>
    </tableColumn>
    <tableColumn id="16" xr3:uid="{00000000-0010-0000-0800-000010000000}" name="15" totalsRowFunction="custom" dataDxfId="442" totalsRowDxfId="441" dataCellStyle="Total" totalsRowCellStyle="Total">
      <totalsRowFormula>COUNTIF(PresençaemMarço[15],"U")+COUNTIF(PresençaemMarço[15],"E")</totalsRowFormula>
    </tableColumn>
    <tableColumn id="17" xr3:uid="{00000000-0010-0000-0800-000011000000}" name="16" totalsRowFunction="custom" dataDxfId="440" totalsRowDxfId="439" dataCellStyle="Total" totalsRowCellStyle="Total">
      <totalsRowFormula>COUNTIF(PresençaemMarço[16],"U")+COUNTIF(PresençaemMarço[16],"E")</totalsRowFormula>
    </tableColumn>
    <tableColumn id="18" xr3:uid="{00000000-0010-0000-0800-000012000000}" name="17" totalsRowFunction="custom" dataDxfId="438" totalsRowDxfId="437" dataCellStyle="Total" totalsRowCellStyle="Total">
      <totalsRowFormula>COUNTIF(PresençaemMarço[17],"U")+COUNTIF(PresençaemMarço[17],"E")</totalsRowFormula>
    </tableColumn>
    <tableColumn id="19" xr3:uid="{00000000-0010-0000-0800-000013000000}" name="18" totalsRowFunction="custom" dataDxfId="436" totalsRowDxfId="435" dataCellStyle="Total" totalsRowCellStyle="Total">
      <totalsRowFormula>COUNTIF(PresençaemMarço[18],"U")+COUNTIF(PresençaemMarço[18],"E")</totalsRowFormula>
    </tableColumn>
    <tableColumn id="20" xr3:uid="{00000000-0010-0000-0800-000014000000}" name="19" totalsRowFunction="custom" dataDxfId="434" totalsRowDxfId="433" dataCellStyle="Total" totalsRowCellStyle="Total">
      <totalsRowFormula>COUNTIF(PresençaemMarço[19],"U")+COUNTIF(PresençaemMarço[19],"E")</totalsRowFormula>
    </tableColumn>
    <tableColumn id="21" xr3:uid="{00000000-0010-0000-0800-000015000000}" name="20" totalsRowFunction="custom" dataDxfId="432" totalsRowDxfId="431" dataCellStyle="Total" totalsRowCellStyle="Total">
      <totalsRowFormula>COUNTIF(PresençaemMarço[20],"U")+COUNTIF(PresençaemMarço[20],"E")</totalsRowFormula>
    </tableColumn>
    <tableColumn id="22" xr3:uid="{00000000-0010-0000-0800-000016000000}" name="21" totalsRowFunction="custom" dataDxfId="430" totalsRowDxfId="429" dataCellStyle="Total" totalsRowCellStyle="Total">
      <totalsRowFormula>COUNTIF(PresençaemMarço[21],"U")+COUNTIF(PresençaemMarço[21],"E")</totalsRowFormula>
    </tableColumn>
    <tableColumn id="23" xr3:uid="{00000000-0010-0000-0800-000017000000}" name="22" totalsRowFunction="custom" dataDxfId="428" totalsRowDxfId="427" dataCellStyle="Total" totalsRowCellStyle="Total">
      <totalsRowFormula>COUNTIF(PresençaemMarço[22],"U")+COUNTIF(PresençaemMarço[22],"E")</totalsRowFormula>
    </tableColumn>
    <tableColumn id="24" xr3:uid="{00000000-0010-0000-0800-000018000000}" name="23" totalsRowFunction="custom" dataDxfId="426" totalsRowDxfId="425" dataCellStyle="Total" totalsRowCellStyle="Total">
      <totalsRowFormula>COUNTIF(PresençaemMarço[23],"U")+COUNTIF(PresençaemMarço[23],"E")</totalsRowFormula>
    </tableColumn>
    <tableColumn id="25" xr3:uid="{00000000-0010-0000-0800-000019000000}" name="24" totalsRowFunction="custom" dataDxfId="424" totalsRowDxfId="423" dataCellStyle="Total" totalsRowCellStyle="Total">
      <totalsRowFormula>COUNTIF(PresençaemMarço[24],"U")+COUNTIF(PresençaemMarço[24],"E")</totalsRowFormula>
    </tableColumn>
    <tableColumn id="26" xr3:uid="{00000000-0010-0000-0800-00001A000000}" name="25" totalsRowFunction="custom" dataDxfId="422" totalsRowDxfId="421" dataCellStyle="Total" totalsRowCellStyle="Total">
      <totalsRowFormula>COUNTIF(PresençaemMarço[25],"U")+COUNTIF(PresençaemMarço[25],"E")</totalsRowFormula>
    </tableColumn>
    <tableColumn id="27" xr3:uid="{00000000-0010-0000-0800-00001B000000}" name="26" totalsRowFunction="custom" dataDxfId="420" totalsRowDxfId="419" dataCellStyle="Total" totalsRowCellStyle="Total">
      <totalsRowFormula>COUNTIF(PresençaemMarço[26],"U")+COUNTIF(PresençaemMarço[26],"E")</totalsRowFormula>
    </tableColumn>
    <tableColumn id="28" xr3:uid="{00000000-0010-0000-0800-00001C000000}" name="27" totalsRowFunction="custom" dataDxfId="418" totalsRowDxfId="417" dataCellStyle="Total" totalsRowCellStyle="Total">
      <totalsRowFormula>COUNTIF(PresençaemMarço[27],"U")+COUNTIF(PresençaemMarço[27],"E")</totalsRowFormula>
    </tableColumn>
    <tableColumn id="29" xr3:uid="{00000000-0010-0000-0800-00001D000000}" name="28" totalsRowFunction="custom" dataDxfId="416" totalsRowDxfId="415" dataCellStyle="Total" totalsRowCellStyle="Total">
      <totalsRowFormula>COUNTIF(PresençaemMarço[28],"U")+COUNTIF(PresençaemMarço[28],"E")</totalsRowFormula>
    </tableColumn>
    <tableColumn id="30" xr3:uid="{00000000-0010-0000-0800-00001E000000}" name="29" totalsRowFunction="custom" dataDxfId="414" totalsRowDxfId="413" dataCellStyle="Total" totalsRowCellStyle="Total">
      <totalsRowFormula>COUNTIF(PresençaemMarço[29],"U")+COUNTIF(PresençaemMarço[29],"E")</totalsRowFormula>
    </tableColumn>
    <tableColumn id="31" xr3:uid="{00000000-0010-0000-0800-00001F000000}" name="30" dataDxfId="412" totalsRowDxfId="411" dataCellStyle="Total" totalsRowCellStyle="Total"/>
    <tableColumn id="32" xr3:uid="{00000000-0010-0000-0800-000020000000}" name="31" dataDxfId="410" totalsRowDxfId="409" dataCellStyle="Total" totalsRowCellStyle="Total"/>
    <tableColumn id="35" xr3:uid="{00000000-0010-0000-0800-000023000000}" name="T" totalsRowFunction="sum" dataDxfId="408" totalsRowDxfId="407" dataCellStyle="Total" totalsRowCellStyle="Total">
      <calculatedColumnFormula>COUNTIF(PresençaemMarço[[#This Row],[1]:[31]],Código1)</calculatedColumnFormula>
    </tableColumn>
    <tableColumn id="34" xr3:uid="{00000000-0010-0000-0800-000022000000}" name="E" totalsRowFunction="sum" dataDxfId="406" totalsRowDxfId="405" dataCellStyle="Total" totalsRowCellStyle="Total">
      <calculatedColumnFormula>COUNTIF(PresençaemMarço[[#This Row],[1]:[31]],Código2)</calculatedColumnFormula>
    </tableColumn>
    <tableColumn id="37" xr3:uid="{00000000-0010-0000-0800-000025000000}" name="f" totalsRowFunction="sum" dataDxfId="404" totalsRowDxfId="403" dataCellStyle="Total" totalsRowCellStyle="Total">
      <calculatedColumnFormula>COUNTIF(PresençaemMarço[[#This Row],[1]:[31]],Código3)</calculatedColumnFormula>
    </tableColumn>
    <tableColumn id="36" xr3:uid="{00000000-0010-0000-0800-000024000000}" name="P" totalsRowFunction="sum" dataDxfId="402" totalsRowDxfId="401" dataCellStyle="Total" totalsRowCellStyle="Total">
      <calculatedColumnFormula>COUNTIF(PresençaemMarço[[#This Row],[1]:[31]],Código4)</calculatedColumnFormula>
    </tableColumn>
    <tableColumn id="33" xr3:uid="{00000000-0010-0000-0800-000021000000}" name="Dias de Ausência" totalsRowFunction="sum" dataDxfId="400" totalsRowDxfId="399" dataCellStyle="Total" totalsRowCellStyle="Total">
      <calculatedColumnFormula>SUM(PresençaemMarço[[#This Row],[E]:[f]])</calculatedColumnFormula>
    </tableColumn>
  </tableColumns>
  <tableStyleInfo name="Employee Absence Table" showFirstColumn="0" showLastColumn="0" showRowStripes="1" showColumnStripes="1"/>
  <extLst>
    <ext xmlns:x14="http://schemas.microsoft.com/office/spreadsheetml/2009/9/main" uri="{504A1905-F514-4f6f-8877-14C23A59335A}">
      <x14:table altText="Registro de Presença em Fevereiro" altTextSummary="Controla a presença do aluno, como T=Atrasado, E=Dispensado, U=Não Dispensado, P=Presente, N=Sem Aula no mês de março."/>
    </ext>
  </extLst>
</table>
</file>

<file path=xl/theme/theme1.xml><?xml version="1.0" encoding="utf-8"?>
<a:theme xmlns:a="http://schemas.openxmlformats.org/drawingml/2006/main" name="Office Theme">
  <a:themeElements>
    <a:clrScheme name="Student Attendance Record">
      <a:dk1>
        <a:sysClr val="windowText" lastClr="000000"/>
      </a:dk1>
      <a:lt1>
        <a:sysClr val="window" lastClr="FFFFFF"/>
      </a:lt1>
      <a:dk2>
        <a:srgbClr val="645050"/>
      </a:dk2>
      <a:lt2>
        <a:srgbClr val="FAF0DC"/>
      </a:lt2>
      <a:accent1>
        <a:srgbClr val="4BACC6"/>
      </a:accent1>
      <a:accent2>
        <a:srgbClr val="FFD264"/>
      </a:accent2>
      <a:accent3>
        <a:srgbClr val="FF9354"/>
      </a:accent3>
      <a:accent4>
        <a:srgbClr val="B4D23C"/>
      </a:accent4>
      <a:accent5>
        <a:srgbClr val="AE701E"/>
      </a:accent5>
      <a:accent6>
        <a:srgbClr val="003CC9"/>
      </a:accent6>
      <a:hlink>
        <a:srgbClr val="457CFF"/>
      </a:hlink>
      <a:folHlink>
        <a:srgbClr val="EDC796"/>
      </a:folHlink>
    </a:clrScheme>
    <a:fontScheme name="Student Attendance Record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lcilandio@gmail.com" TargetMode="External"/><Relationship Id="rId1" Type="http://schemas.openxmlformats.org/officeDocument/2006/relationships/hyperlink" Target="http://office.microsoft.com/client/helppreview14.aspx?AssetId=HA010354866&amp;lcid=1033&amp;NS=EXCEL&amp;Version=14&amp;tl=2&amp;respos=0&amp;CTT=1&amp;queryid=d38d00d08c94494fb55f055eb667c2c9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A1:O32"/>
  <sheetViews>
    <sheetView showGridLines="0" showRowColHeaders="0" tabSelected="1" workbookViewId="0">
      <selection activeCell="Q1" sqref="Q1"/>
    </sheetView>
  </sheetViews>
  <sheetFormatPr defaultRowHeight="13.2" x14ac:dyDescent="0.25"/>
  <cols>
    <col min="1" max="3" width="3.33203125" customWidth="1"/>
    <col min="4" max="4" width="3.88671875" customWidth="1"/>
    <col min="14" max="14" width="2.44140625" customWidth="1"/>
  </cols>
  <sheetData>
    <row r="1" spans="1:15" ht="42" customHeight="1" x14ac:dyDescent="0.25">
      <c r="A1" s="56" t="s">
        <v>116</v>
      </c>
      <c r="B1" s="56"/>
      <c r="C1" s="56"/>
      <c r="D1" s="5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5" ht="6.75" customHeight="1" x14ac:dyDescent="0.25"/>
    <row r="3" spans="1:15" ht="15" x14ac:dyDescent="0.25">
      <c r="B3" s="57" t="s">
        <v>101</v>
      </c>
      <c r="C3" s="57"/>
      <c r="D3" s="57"/>
      <c r="E3" s="57"/>
      <c r="F3" s="57"/>
    </row>
    <row r="4" spans="1:15" ht="28.5" customHeight="1" x14ac:dyDescent="0.25">
      <c r="C4" s="104" t="s">
        <v>105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5" spans="1:15" ht="96" customHeight="1" x14ac:dyDescent="0.25">
      <c r="D5" s="61" t="s">
        <v>97</v>
      </c>
      <c r="E5" s="105" t="s">
        <v>120</v>
      </c>
      <c r="F5" s="105"/>
      <c r="G5" s="105"/>
      <c r="H5" s="105"/>
      <c r="I5" s="105"/>
      <c r="J5" s="105"/>
      <c r="K5" s="105"/>
      <c r="L5" s="105"/>
      <c r="M5" s="105"/>
      <c r="N5" s="58"/>
    </row>
    <row r="6" spans="1:15" ht="61.5" customHeight="1" x14ac:dyDescent="0.25">
      <c r="C6" s="58"/>
      <c r="D6" s="61" t="s">
        <v>98</v>
      </c>
      <c r="E6" s="105" t="s">
        <v>121</v>
      </c>
      <c r="F6" s="105"/>
      <c r="G6" s="105"/>
      <c r="H6" s="105"/>
      <c r="I6" s="105"/>
      <c r="J6" s="105"/>
      <c r="K6" s="105"/>
      <c r="L6" s="105"/>
      <c r="M6" s="105"/>
      <c r="N6" s="58"/>
    </row>
    <row r="7" spans="1:15" ht="96.75" customHeight="1" x14ac:dyDescent="0.25">
      <c r="C7" s="58"/>
      <c r="D7" s="61" t="s">
        <v>99</v>
      </c>
      <c r="E7" s="105" t="s">
        <v>123</v>
      </c>
      <c r="F7" s="105"/>
      <c r="G7" s="105"/>
      <c r="H7" s="105"/>
      <c r="I7" s="105"/>
      <c r="J7" s="105"/>
      <c r="K7" s="105"/>
      <c r="L7" s="105"/>
      <c r="M7" s="105"/>
      <c r="N7" s="58"/>
    </row>
    <row r="8" spans="1:15" ht="69.75" customHeight="1" x14ac:dyDescent="0.25">
      <c r="C8" s="58"/>
      <c r="D8" s="61"/>
      <c r="E8" s="106" t="s">
        <v>124</v>
      </c>
      <c r="F8" s="106"/>
      <c r="G8" s="106"/>
      <c r="H8" s="106"/>
      <c r="I8" s="106"/>
      <c r="J8" s="106"/>
      <c r="K8" s="106"/>
      <c r="L8" s="106"/>
      <c r="M8" s="106"/>
      <c r="N8" s="58"/>
    </row>
    <row r="9" spans="1:15" ht="16.5" customHeight="1" x14ac:dyDescent="0.25">
      <c r="E9" s="107" t="s">
        <v>135</v>
      </c>
      <c r="F9" s="107"/>
      <c r="G9" s="107"/>
      <c r="H9" s="107"/>
    </row>
    <row r="10" spans="1:15" ht="6.75" customHeight="1" x14ac:dyDescent="0.25"/>
    <row r="11" spans="1:15" ht="16.5" customHeight="1" x14ac:dyDescent="0.25">
      <c r="B11" s="57" t="s">
        <v>102</v>
      </c>
      <c r="C11" s="57"/>
      <c r="D11" s="57"/>
      <c r="E11" s="57"/>
      <c r="F11" s="57"/>
      <c r="G11" s="57"/>
      <c r="H11" s="57"/>
      <c r="I11" s="57"/>
    </row>
    <row r="12" spans="1:15" s="16" customFormat="1" ht="35.25" customHeight="1" x14ac:dyDescent="0.25">
      <c r="C12" s="104" t="s">
        <v>100</v>
      </c>
      <c r="D12" s="104"/>
      <c r="E12" s="104"/>
      <c r="F12" s="104"/>
      <c r="G12" s="104"/>
      <c r="H12" s="104"/>
      <c r="I12" s="104"/>
      <c r="J12" s="104"/>
      <c r="K12" s="104"/>
      <c r="L12" s="104"/>
      <c r="M12" s="104"/>
    </row>
    <row r="13" spans="1:15" ht="47.25" customHeight="1" x14ac:dyDescent="0.25">
      <c r="D13" s="61" t="s">
        <v>97</v>
      </c>
      <c r="E13" s="105" t="s">
        <v>117</v>
      </c>
      <c r="F13" s="105"/>
      <c r="G13" s="105"/>
      <c r="H13" s="105"/>
      <c r="I13" s="105"/>
      <c r="J13" s="105"/>
      <c r="K13" s="105"/>
      <c r="L13" s="105"/>
      <c r="M13" s="105"/>
      <c r="N13" s="58"/>
      <c r="O13" s="58"/>
    </row>
    <row r="14" spans="1:15" ht="47.25" customHeight="1" x14ac:dyDescent="0.25">
      <c r="D14" s="61"/>
      <c r="E14" s="105" t="s">
        <v>122</v>
      </c>
      <c r="F14" s="105"/>
      <c r="G14" s="105"/>
      <c r="H14" s="105"/>
      <c r="I14" s="105"/>
      <c r="J14" s="105"/>
      <c r="K14" s="105"/>
      <c r="L14" s="105"/>
      <c r="M14" s="105"/>
      <c r="N14" s="58"/>
      <c r="O14" s="58"/>
    </row>
    <row r="15" spans="1:15" s="59" customFormat="1" ht="67.5" customHeight="1" x14ac:dyDescent="0.25">
      <c r="D15" s="61" t="s">
        <v>98</v>
      </c>
      <c r="E15" s="105" t="s">
        <v>110</v>
      </c>
      <c r="F15" s="105"/>
      <c r="G15" s="105"/>
      <c r="H15" s="105"/>
      <c r="I15" s="105"/>
      <c r="J15" s="105"/>
      <c r="K15" s="105"/>
      <c r="L15" s="105"/>
      <c r="M15" s="105"/>
      <c r="N15" s="60"/>
      <c r="O15" s="60"/>
    </row>
    <row r="16" spans="1:15" ht="6.75" customHeight="1" x14ac:dyDescent="0.25"/>
    <row r="17" spans="2:13" ht="15" x14ac:dyDescent="0.25">
      <c r="B17" s="57" t="s">
        <v>103</v>
      </c>
      <c r="C17" s="57"/>
      <c r="D17" s="57"/>
      <c r="E17" s="57"/>
      <c r="F17" s="57"/>
      <c r="G17" s="57"/>
      <c r="H17" s="57"/>
      <c r="I17" s="57"/>
      <c r="J17" s="57"/>
    </row>
    <row r="18" spans="2:13" ht="30.75" customHeight="1" x14ac:dyDescent="0.25">
      <c r="B18" s="16"/>
      <c r="C18" s="104" t="s">
        <v>111</v>
      </c>
      <c r="D18" s="104"/>
      <c r="E18" s="104"/>
      <c r="F18" s="104"/>
      <c r="G18" s="104"/>
      <c r="H18" s="104"/>
      <c r="I18" s="104"/>
      <c r="J18" s="104"/>
      <c r="K18" s="104"/>
      <c r="L18" s="104"/>
      <c r="M18" s="104"/>
    </row>
    <row r="19" spans="2:13" ht="34.5" customHeight="1" x14ac:dyDescent="0.25">
      <c r="B19" s="16"/>
      <c r="C19" s="62"/>
      <c r="D19" s="59" t="s">
        <v>96</v>
      </c>
      <c r="E19" s="104" t="s">
        <v>107</v>
      </c>
      <c r="F19" s="104"/>
      <c r="G19" s="104"/>
      <c r="H19" s="104"/>
      <c r="I19" s="104"/>
      <c r="J19" s="104"/>
      <c r="K19" s="104"/>
      <c r="L19" s="104"/>
      <c r="M19" s="104"/>
    </row>
    <row r="20" spans="2:13" s="59" customFormat="1" ht="34.5" customHeight="1" x14ac:dyDescent="0.25">
      <c r="D20" s="59" t="s">
        <v>96</v>
      </c>
      <c r="E20" s="105" t="s">
        <v>108</v>
      </c>
      <c r="F20" s="105"/>
      <c r="G20" s="105"/>
      <c r="H20" s="105"/>
      <c r="I20" s="105"/>
      <c r="J20" s="105"/>
      <c r="K20" s="105"/>
      <c r="L20" s="105"/>
      <c r="M20" s="105"/>
    </row>
    <row r="21" spans="2:13" s="59" customFormat="1" ht="34.5" customHeight="1" x14ac:dyDescent="0.25">
      <c r="D21" s="59" t="s">
        <v>96</v>
      </c>
      <c r="E21" s="105" t="s">
        <v>118</v>
      </c>
      <c r="F21" s="105"/>
      <c r="G21" s="105"/>
      <c r="H21" s="105"/>
      <c r="I21" s="105"/>
      <c r="J21" s="105"/>
      <c r="K21" s="105"/>
      <c r="L21" s="105"/>
      <c r="M21" s="105"/>
    </row>
    <row r="22" spans="2:13" s="59" customFormat="1" ht="41.25" customHeight="1" x14ac:dyDescent="0.25">
      <c r="D22" s="59" t="s">
        <v>96</v>
      </c>
      <c r="E22" s="105" t="s">
        <v>109</v>
      </c>
      <c r="F22" s="105"/>
      <c r="G22" s="105"/>
      <c r="H22" s="105"/>
      <c r="I22" s="105"/>
      <c r="J22" s="105"/>
      <c r="K22" s="105"/>
      <c r="L22" s="105"/>
      <c r="M22" s="105"/>
    </row>
    <row r="23" spans="2:13" ht="6.75" customHeight="1" x14ac:dyDescent="0.25"/>
    <row r="24" spans="2:13" s="59" customFormat="1" ht="16.5" customHeight="1" x14ac:dyDescent="0.25">
      <c r="B24" s="63" t="s">
        <v>104</v>
      </c>
      <c r="C24" s="63"/>
      <c r="D24" s="63"/>
      <c r="E24" s="63"/>
      <c r="F24" s="63"/>
      <c r="G24" s="63"/>
      <c r="H24" s="63"/>
      <c r="I24" s="63"/>
      <c r="J24" s="63"/>
      <c r="K24" s="63"/>
    </row>
    <row r="25" spans="2:13" s="59" customFormat="1" ht="96" customHeight="1" x14ac:dyDescent="0.25">
      <c r="C25" s="104" t="s">
        <v>119</v>
      </c>
      <c r="D25" s="104"/>
      <c r="E25" s="104"/>
      <c r="F25" s="104"/>
      <c r="G25" s="104"/>
      <c r="H25" s="104"/>
      <c r="I25" s="104"/>
      <c r="J25" s="104"/>
      <c r="K25" s="104"/>
      <c r="L25" s="104"/>
      <c r="M25" s="104"/>
    </row>
    <row r="26" spans="2:13" s="59" customFormat="1" ht="16.5" customHeight="1" x14ac:dyDescent="0.25"/>
    <row r="27" spans="2:13" s="59" customFormat="1" ht="16.5" customHeight="1" x14ac:dyDescent="0.25"/>
    <row r="28" spans="2:13" s="59" customFormat="1" ht="16.5" customHeight="1" x14ac:dyDescent="0.25"/>
    <row r="29" spans="2:13" s="59" customFormat="1" ht="16.5" customHeight="1" x14ac:dyDescent="0.25"/>
    <row r="30" spans="2:13" s="59" customFormat="1" ht="16.5" customHeight="1" x14ac:dyDescent="0.25"/>
    <row r="31" spans="2:13" s="59" customFormat="1" ht="16.5" customHeight="1" x14ac:dyDescent="0.25"/>
    <row r="32" spans="2:13" ht="16.5" customHeight="1" x14ac:dyDescent="0.25"/>
  </sheetData>
  <mergeCells count="16">
    <mergeCell ref="E22:M22"/>
    <mergeCell ref="C25:M25"/>
    <mergeCell ref="E13:M13"/>
    <mergeCell ref="E15:M15"/>
    <mergeCell ref="C18:M18"/>
    <mergeCell ref="E19:M19"/>
    <mergeCell ref="E20:M20"/>
    <mergeCell ref="E21:M21"/>
    <mergeCell ref="E14:M14"/>
    <mergeCell ref="C12:M12"/>
    <mergeCell ref="C4:M4"/>
    <mergeCell ref="E5:M5"/>
    <mergeCell ref="E6:M6"/>
    <mergeCell ref="E7:M7"/>
    <mergeCell ref="E8:M8"/>
    <mergeCell ref="E9:H9"/>
  </mergeCells>
  <hyperlinks>
    <hyperlink ref="E9:F9" r:id="rId1" location="_Toc261352312" display="Customize a document theme." xr:uid="{00000000-0004-0000-0000-000000000000}"/>
    <hyperlink ref="E9" r:id="rId2" xr:uid="{00000000-0004-0000-0000-000001000000}"/>
  </hyperlinks>
  <printOptions horizontalCentered="1"/>
  <pageMargins left="0.25" right="0.25" top="0.75" bottom="0.75" header="0.3" footer="0.3"/>
  <pageSetup paperSize="9" scale="78" orientation="portrait" r:id="rId3"/>
  <ignoredErrors>
    <ignoredError sqref="D15 D5:D7 D13" numberStoredAsText="1"/>
  </ignoredErrors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-0.249977111117893"/>
    <pageSetUpPr fitToPage="1"/>
  </sheetPr>
  <dimension ref="A1:AM264"/>
  <sheetViews>
    <sheetView showGridLines="0" zoomScaleNormal="100" workbookViewId="0">
      <pane xSplit="3" ySplit="6" topLeftCell="D7" activePane="bottomRight" state="frozen"/>
      <selection activeCell="Y16" sqref="Y16"/>
      <selection pane="topRight" activeCell="Y16" sqref="Y16"/>
      <selection pane="bottomLeft" activeCell="Y16" sqref="Y16"/>
      <selection pane="bottomRight" activeCell="AK7" sqref="AK7"/>
    </sheetView>
  </sheetViews>
  <sheetFormatPr defaultColWidth="9.109375" defaultRowHeight="15" customHeight="1" x14ac:dyDescent="0.25"/>
  <cols>
    <col min="1" max="1" width="2.6640625" style="8" customWidth="1"/>
    <col min="2" max="2" width="11.88671875" style="8" bestFit="1" customWidth="1"/>
    <col min="3" max="3" width="28.88671875" style="9" customWidth="1"/>
    <col min="4" max="34" width="5" style="7" customWidth="1"/>
    <col min="35" max="35" width="4.6640625" style="6" customWidth="1"/>
    <col min="36" max="36" width="4.6640625" style="7" customWidth="1"/>
    <col min="37" max="38" width="4.6640625" style="8" customWidth="1"/>
    <col min="39" max="39" width="19.5546875" style="8" bestFit="1" customWidth="1"/>
    <col min="40" max="16384" width="9.109375" style="8"/>
  </cols>
  <sheetData>
    <row r="1" spans="1:39" s="1" customFormat="1" ht="42" customHeight="1" x14ac:dyDescent="0.25">
      <c r="A1" s="21" t="s">
        <v>88</v>
      </c>
      <c r="B1" s="22"/>
      <c r="C1" s="22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2"/>
      <c r="AD1" s="22"/>
      <c r="AE1" s="22"/>
      <c r="AF1" s="22"/>
      <c r="AG1" s="24"/>
      <c r="AH1" s="22"/>
      <c r="AI1" s="22"/>
      <c r="AJ1" s="25"/>
      <c r="AK1" s="22"/>
      <c r="AL1" s="34" t="s">
        <v>72</v>
      </c>
      <c r="AM1" s="35">
        <f>AnoCalendário</f>
        <v>2016</v>
      </c>
    </row>
    <row r="2" spans="1:39" customFormat="1" ht="13.2" x14ac:dyDescent="0.25"/>
    <row r="3" spans="1:39" s="17" customFormat="1" ht="12.75" customHeight="1" x14ac:dyDescent="0.25">
      <c r="C3" s="27" t="str">
        <f>TextodaChavedeCor</f>
        <v xml:space="preserve">CHAVE COLORIDA </v>
      </c>
      <c r="D3" s="28" t="str">
        <f>Código1</f>
        <v>T</v>
      </c>
      <c r="E3" s="41" t="str">
        <f>TextodeCódigo1</f>
        <v>Atrasado</v>
      </c>
      <c r="F3" s="33"/>
      <c r="H3" s="29" t="str">
        <f>Código2</f>
        <v>E</v>
      </c>
      <c r="I3" s="33" t="str">
        <f>TextodeCódigo2</f>
        <v>Dispensado</v>
      </c>
      <c r="L3" s="30" t="str">
        <f>Código3</f>
        <v>F</v>
      </c>
      <c r="M3" s="33" t="str">
        <f>TextodeCódigo3</f>
        <v>faltou a aula</v>
      </c>
      <c r="P3" s="31" t="str">
        <f>Código4</f>
        <v>P</v>
      </c>
      <c r="Q3" s="33" t="str">
        <f>TextodeCódigo4</f>
        <v>Presente</v>
      </c>
      <c r="T3" s="32" t="str">
        <f>Código5</f>
        <v>N</v>
      </c>
      <c r="U3" s="33" t="str">
        <f>TextodeCódigo5</f>
        <v>Sem Aula</v>
      </c>
      <c r="W3"/>
      <c r="X3"/>
      <c r="Y3"/>
      <c r="AD3" s="16"/>
      <c r="AE3" s="16"/>
      <c r="AH3" s="18"/>
      <c r="AI3" s="19"/>
      <c r="AK3" s="20"/>
    </row>
    <row r="4" spans="1:39" customFormat="1" ht="16.5" customHeight="1" x14ac:dyDescent="0.25"/>
    <row r="5" spans="1:39" s="2" customFormat="1" ht="18" customHeight="1" thickBot="1" x14ac:dyDescent="0.35">
      <c r="B5" s="79">
        <f>DATE(AnoCalendário+1,3,1)</f>
        <v>42795</v>
      </c>
      <c r="C5" s="80"/>
      <c r="D5" s="81" t="str">
        <f>TEXT(WEEKDAY(DATE(AnoCalendário+1,3,1),1),"ddd")</f>
        <v>qua</v>
      </c>
      <c r="E5" s="81" t="str">
        <f>TEXT(WEEKDAY(DATE(AnoCalendário+1,3,2),1),"ddd")</f>
        <v>qui</v>
      </c>
      <c r="F5" s="81" t="str">
        <f>TEXT(WEEKDAY(DATE(AnoCalendário+1,3,3),1),"ddd")</f>
        <v>sex</v>
      </c>
      <c r="G5" s="81" t="str">
        <f>TEXT(WEEKDAY(DATE(AnoCalendário+1,3,4),1),"ddd")</f>
        <v>sáb</v>
      </c>
      <c r="H5" s="81" t="str">
        <f>TEXT(WEEKDAY(DATE(AnoCalendário+1,3,5),1),"ddd")</f>
        <v>dom</v>
      </c>
      <c r="I5" s="81" t="str">
        <f>TEXT(WEEKDAY(DATE(AnoCalendário+1,3,6),1),"ddd")</f>
        <v>seg</v>
      </c>
      <c r="J5" s="81" t="str">
        <f>TEXT(WEEKDAY(DATE(AnoCalendário+1,3,7),1),"ddd")</f>
        <v>ter</v>
      </c>
      <c r="K5" s="81" t="str">
        <f>TEXT(WEEKDAY(DATE(AnoCalendário+1,3,8),1),"ddd")</f>
        <v>qua</v>
      </c>
      <c r="L5" s="81" t="str">
        <f>TEXT(WEEKDAY(DATE(AnoCalendário+1,3,9),1),"ddd")</f>
        <v>qui</v>
      </c>
      <c r="M5" s="81" t="str">
        <f>TEXT(WEEKDAY(DATE(AnoCalendário+1,3,10),1),"ddd")</f>
        <v>sex</v>
      </c>
      <c r="N5" s="81" t="str">
        <f>TEXT(WEEKDAY(DATE(AnoCalendário+1,3,11),1),"ddd")</f>
        <v>sáb</v>
      </c>
      <c r="O5" s="81" t="str">
        <f>TEXT(WEEKDAY(DATE(AnoCalendário+1,3,12),1),"ddd")</f>
        <v>dom</v>
      </c>
      <c r="P5" s="81" t="str">
        <f>TEXT(WEEKDAY(DATE(AnoCalendário+1,3,13),1),"ddd")</f>
        <v>seg</v>
      </c>
      <c r="Q5" s="81" t="str">
        <f>TEXT(WEEKDAY(DATE(AnoCalendário+1,3,14),1),"ddd")</f>
        <v>ter</v>
      </c>
      <c r="R5" s="81" t="str">
        <f>TEXT(WEEKDAY(DATE(AnoCalendário+1,3,15),1),"ddd")</f>
        <v>qua</v>
      </c>
      <c r="S5" s="81" t="str">
        <f>TEXT(WEEKDAY(DATE(AnoCalendário+1,3,16),1),"ddd")</f>
        <v>qui</v>
      </c>
      <c r="T5" s="81" t="str">
        <f>TEXT(WEEKDAY(DATE(AnoCalendário+1,3,17),1),"ddd")</f>
        <v>sex</v>
      </c>
      <c r="U5" s="81" t="str">
        <f>TEXT(WEEKDAY(DATE(AnoCalendário+1,3,18),1),"ddd")</f>
        <v>sáb</v>
      </c>
      <c r="V5" s="81" t="str">
        <f>TEXT(WEEKDAY(DATE(AnoCalendário+1,3,19),1),"ddd")</f>
        <v>dom</v>
      </c>
      <c r="W5" s="81" t="str">
        <f>TEXT(WEEKDAY(DATE(AnoCalendário+1,3,20),1),"ddd")</f>
        <v>seg</v>
      </c>
      <c r="X5" s="81" t="str">
        <f>TEXT(WEEKDAY(DATE(AnoCalendário+1,3,21),1),"ddd")</f>
        <v>ter</v>
      </c>
      <c r="Y5" s="81" t="str">
        <f>TEXT(WEEKDAY(DATE(AnoCalendário+1,3,22),1),"ddd")</f>
        <v>qua</v>
      </c>
      <c r="Z5" s="81" t="str">
        <f>TEXT(WEEKDAY(DATE(AnoCalendário+1,3,23),1),"ddd")</f>
        <v>qui</v>
      </c>
      <c r="AA5" s="81" t="str">
        <f>TEXT(WEEKDAY(DATE(AnoCalendário+1,3,24),1),"ddd")</f>
        <v>sex</v>
      </c>
      <c r="AB5" s="81" t="str">
        <f>TEXT(WEEKDAY(DATE(AnoCalendário+1,3,25),1),"ddd")</f>
        <v>sáb</v>
      </c>
      <c r="AC5" s="81" t="str">
        <f>TEXT(WEEKDAY(DATE(AnoCalendário+1,3,26),1),"ddd")</f>
        <v>dom</v>
      </c>
      <c r="AD5" s="81" t="str">
        <f>TEXT(WEEKDAY(DATE(AnoCalendário+1,3,27),1),"ddd")</f>
        <v>seg</v>
      </c>
      <c r="AE5" s="81" t="str">
        <f>TEXT(WEEKDAY(DATE(AnoCalendário+1,3,28),1),"ddd")</f>
        <v>ter</v>
      </c>
      <c r="AF5" s="81" t="str">
        <f>TEXT(WEEKDAY(DATE(AnoCalendário+1,3,29),1),"ddd")</f>
        <v>qua</v>
      </c>
      <c r="AG5" s="81" t="str">
        <f>TEXT(WEEKDAY(DATE(AnoCalendário+1,3,30),1),"ddd")</f>
        <v>qui</v>
      </c>
      <c r="AH5" s="81" t="str">
        <f>TEXT(WEEKDAY(DATE(AnoCalendário+1,3,31),1),"ddd")</f>
        <v>sex</v>
      </c>
      <c r="AI5" s="108" t="s">
        <v>41</v>
      </c>
      <c r="AJ5" s="108"/>
      <c r="AK5" s="108"/>
      <c r="AL5" s="108"/>
      <c r="AM5" s="108"/>
    </row>
    <row r="6" spans="1:39" ht="14.25" customHeight="1" thickTop="1" thickBot="1" x14ac:dyDescent="0.3">
      <c r="B6" s="82" t="s">
        <v>34</v>
      </c>
      <c r="C6" s="83" t="s">
        <v>36</v>
      </c>
      <c r="D6" s="84" t="s">
        <v>0</v>
      </c>
      <c r="E6" s="84" t="s">
        <v>1</v>
      </c>
      <c r="F6" s="84" t="s">
        <v>2</v>
      </c>
      <c r="G6" s="84" t="s">
        <v>3</v>
      </c>
      <c r="H6" s="84" t="s">
        <v>4</v>
      </c>
      <c r="I6" s="84" t="s">
        <v>5</v>
      </c>
      <c r="J6" s="84" t="s">
        <v>6</v>
      </c>
      <c r="K6" s="84" t="s">
        <v>7</v>
      </c>
      <c r="L6" s="84" t="s">
        <v>8</v>
      </c>
      <c r="M6" s="84" t="s">
        <v>9</v>
      </c>
      <c r="N6" s="84" t="s">
        <v>10</v>
      </c>
      <c r="O6" s="84" t="s">
        <v>11</v>
      </c>
      <c r="P6" s="84" t="s">
        <v>12</v>
      </c>
      <c r="Q6" s="84" t="s">
        <v>13</v>
      </c>
      <c r="R6" s="84" t="s">
        <v>14</v>
      </c>
      <c r="S6" s="84" t="s">
        <v>15</v>
      </c>
      <c r="T6" s="84" t="s">
        <v>16</v>
      </c>
      <c r="U6" s="84" t="s">
        <v>17</v>
      </c>
      <c r="V6" s="84" t="s">
        <v>18</v>
      </c>
      <c r="W6" s="84" t="s">
        <v>19</v>
      </c>
      <c r="X6" s="84" t="s">
        <v>20</v>
      </c>
      <c r="Y6" s="84" t="s">
        <v>21</v>
      </c>
      <c r="Z6" s="84" t="s">
        <v>22</v>
      </c>
      <c r="AA6" s="84" t="s">
        <v>23</v>
      </c>
      <c r="AB6" s="84" t="s">
        <v>24</v>
      </c>
      <c r="AC6" s="84" t="s">
        <v>25</v>
      </c>
      <c r="AD6" s="84" t="s">
        <v>26</v>
      </c>
      <c r="AE6" s="84" t="s">
        <v>27</v>
      </c>
      <c r="AF6" s="84" t="s">
        <v>28</v>
      </c>
      <c r="AG6" s="84" t="s">
        <v>29</v>
      </c>
      <c r="AH6" s="84" t="s">
        <v>30</v>
      </c>
      <c r="AI6" s="95" t="s">
        <v>37</v>
      </c>
      <c r="AJ6" s="86" t="s">
        <v>39</v>
      </c>
      <c r="AK6" s="87" t="s">
        <v>134</v>
      </c>
      <c r="AL6" s="88" t="s">
        <v>31</v>
      </c>
      <c r="AM6" s="91" t="s">
        <v>40</v>
      </c>
    </row>
    <row r="7" spans="1:39" ht="16.5" customHeight="1" thickTop="1" thickBot="1" x14ac:dyDescent="0.3">
      <c r="B7" s="96" t="s">
        <v>91</v>
      </c>
      <c r="C7" s="97" t="str">
        <f>IFERROR(VLOOKUP(PresençaemMarço[[#This Row],[ID do Aluno]],ListadeAlunos[],18,FALSE),"")</f>
        <v>Francisco  Alcilandio</v>
      </c>
      <c r="D7" s="98"/>
      <c r="E7" s="98" t="s">
        <v>137</v>
      </c>
      <c r="F7" s="98" t="s">
        <v>137</v>
      </c>
      <c r="G7" s="98" t="s">
        <v>71</v>
      </c>
      <c r="H7" s="98" t="s">
        <v>136</v>
      </c>
      <c r="I7" s="98" t="s">
        <v>31</v>
      </c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9"/>
      <c r="AG7" s="84"/>
      <c r="AH7" s="84"/>
      <c r="AI7" s="100">
        <f>COUNTIF(PresençaemMarço[[#This Row],[1]:[31]],Código1)</f>
        <v>0</v>
      </c>
      <c r="AJ7" s="100">
        <f>COUNTIF(PresençaemMarço[[#This Row],[1]:[31]],Código2)</f>
        <v>0</v>
      </c>
      <c r="AK7" s="100">
        <f>COUNTIF(PresençaemMarço[[#This Row],[1]:[31]],Código3)</f>
        <v>0</v>
      </c>
      <c r="AL7" s="100">
        <f>COUNTIF(PresençaemMarço[[#This Row],[1]:[31]],Código4)</f>
        <v>3</v>
      </c>
      <c r="AM7" s="93">
        <f>SUM(PresençaemMarço[[#This Row],[E]:[f]])</f>
        <v>0</v>
      </c>
    </row>
    <row r="8" spans="1:39" ht="16.5" customHeight="1" thickTop="1" thickBot="1" x14ac:dyDescent="0.3">
      <c r="B8" s="96"/>
      <c r="C8" s="101" t="str">
        <f>IFERROR(VLOOKUP(PresençaemMarço[[#This Row],[ID do Aluno]],ListadeAlunos[],18,FALSE),"")</f>
        <v/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9"/>
      <c r="AG8" s="84"/>
      <c r="AH8" s="84"/>
      <c r="AI8" s="100">
        <f>COUNTIF(PresençaemMarço[[#This Row],[1]:[31]],Código1)</f>
        <v>0</v>
      </c>
      <c r="AJ8" s="100">
        <f>COUNTIF(PresençaemMarço[[#This Row],[1]:[31]],Código2)</f>
        <v>0</v>
      </c>
      <c r="AK8" s="100">
        <f>COUNTIF(PresençaemMarço[[#This Row],[1]:[31]],Código3)</f>
        <v>0</v>
      </c>
      <c r="AL8" s="100">
        <f>COUNTIF(PresençaemMarço[[#This Row],[1]:[31]],Código4)</f>
        <v>0</v>
      </c>
      <c r="AM8" s="93">
        <f>SUM(PresençaemMarço[[#This Row],[E]:[f]])</f>
        <v>0</v>
      </c>
    </row>
    <row r="9" spans="1:39" ht="16.5" customHeight="1" thickTop="1" thickBot="1" x14ac:dyDescent="0.3">
      <c r="B9" s="96"/>
      <c r="C9" s="101" t="str">
        <f>IFERROR(VLOOKUP(PresençaemMarço[[#This Row],[ID do Aluno]],ListadeAlunos[],18,FALSE),"")</f>
        <v/>
      </c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9"/>
      <c r="AG9" s="84"/>
      <c r="AH9" s="84"/>
      <c r="AI9" s="100">
        <f>COUNTIF(PresençaemMarço[[#This Row],[1]:[31]],Código1)</f>
        <v>0</v>
      </c>
      <c r="AJ9" s="100">
        <f>COUNTIF(PresençaemMarço[[#This Row],[1]:[31]],Código2)</f>
        <v>0</v>
      </c>
      <c r="AK9" s="100">
        <f>COUNTIF(PresençaemMarço[[#This Row],[1]:[31]],Código3)</f>
        <v>0</v>
      </c>
      <c r="AL9" s="100">
        <f>COUNTIF(PresençaemMarço[[#This Row],[1]:[31]],Código4)</f>
        <v>0</v>
      </c>
      <c r="AM9" s="93">
        <f>SUM(PresençaemMarço[[#This Row],[E]:[f]])</f>
        <v>0</v>
      </c>
    </row>
    <row r="10" spans="1:39" ht="16.5" customHeight="1" thickTop="1" thickBot="1" x14ac:dyDescent="0.3">
      <c r="B10" s="96"/>
      <c r="C10" s="101" t="str">
        <f>IFERROR(VLOOKUP(PresençaemMarço[[#This Row],[ID do Aluno]],ListadeAlunos[],18,FALSE),"")</f>
        <v/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9"/>
      <c r="AG10" s="84"/>
      <c r="AH10" s="84"/>
      <c r="AI10" s="100">
        <f>COUNTIF(PresençaemMarço[[#This Row],[1]:[31]],Código1)</f>
        <v>0</v>
      </c>
      <c r="AJ10" s="100">
        <f>COUNTIF(PresençaemMarço[[#This Row],[1]:[31]],Código2)</f>
        <v>0</v>
      </c>
      <c r="AK10" s="100">
        <f>COUNTIF(PresençaemMarço[[#This Row],[1]:[31]],Código3)</f>
        <v>0</v>
      </c>
      <c r="AL10" s="100">
        <f>COUNTIF(PresençaemMarço[[#This Row],[1]:[31]],Código4)</f>
        <v>0</v>
      </c>
      <c r="AM10" s="93">
        <f>SUM(PresençaemMarço[[#This Row],[E]:[f]])</f>
        <v>0</v>
      </c>
    </row>
    <row r="11" spans="1:39" ht="16.5" customHeight="1" thickTop="1" thickBot="1" x14ac:dyDescent="0.3">
      <c r="B11" s="96"/>
      <c r="C11" s="101" t="str">
        <f>IFERROR(VLOOKUP(PresençaemMarço[[#This Row],[ID do Aluno]],ListadeAlunos[],18,FALSE),"")</f>
        <v/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9"/>
      <c r="AG11" s="84"/>
      <c r="AH11" s="84"/>
      <c r="AI11" s="100">
        <f>COUNTIF(PresençaemMarço[[#This Row],[1]:[31]],Código1)</f>
        <v>0</v>
      </c>
      <c r="AJ11" s="100">
        <f>COUNTIF(PresençaemMarço[[#This Row],[1]:[31]],Código2)</f>
        <v>0</v>
      </c>
      <c r="AK11" s="100">
        <f>COUNTIF(PresençaemMarço[[#This Row],[1]:[31]],Código3)</f>
        <v>0</v>
      </c>
      <c r="AL11" s="100">
        <f>COUNTIF(PresençaemMarço[[#This Row],[1]:[31]],Código4)</f>
        <v>0</v>
      </c>
      <c r="AM11" s="93">
        <f>SUM(PresençaemMarço[[#This Row],[E]:[f]])</f>
        <v>0</v>
      </c>
    </row>
    <row r="12" spans="1:39" ht="16.5" customHeight="1" thickTop="1" thickBot="1" x14ac:dyDescent="0.3">
      <c r="B12" s="84"/>
      <c r="C12" s="89" t="s">
        <v>114</v>
      </c>
      <c r="D12" s="93">
        <f>COUNTIF(PresençaemMarço[1],"U")+COUNTIF(PresençaemMarço[1],"E")</f>
        <v>0</v>
      </c>
      <c r="E12" s="93">
        <f>COUNTIF(PresençaemMarço[2],"U")+COUNTIF(PresençaemMarço[2],"E")</f>
        <v>0</v>
      </c>
      <c r="F12" s="93">
        <f>COUNTIF(PresençaemMarço[3],"U")+COUNTIF(PresençaemMarço[3],"E")</f>
        <v>0</v>
      </c>
      <c r="G12" s="93">
        <f>COUNTIF(PresençaemMarço[4],"U")+COUNTIF(PresençaemMarço[4],"E")</f>
        <v>0</v>
      </c>
      <c r="H12" s="93">
        <f>COUNTIF(PresençaemMarço[5],"U")+COUNTIF(PresençaemMarço[5],"E")</f>
        <v>0</v>
      </c>
      <c r="I12" s="93">
        <f>COUNTIF(PresençaemMarço[6],"U")+COUNTIF(PresençaemMarço[6],"E")</f>
        <v>0</v>
      </c>
      <c r="J12" s="93">
        <f>COUNTIF(PresençaemMarço[7],"U")+COUNTIF(PresençaemMarço[7],"E")</f>
        <v>0</v>
      </c>
      <c r="K12" s="93">
        <f>COUNTIF(PresençaemMarço[8],"U")+COUNTIF(PresençaemMarço[8],"E")</f>
        <v>0</v>
      </c>
      <c r="L12" s="93">
        <f>COUNTIF(PresençaemMarço[9],"U")+COUNTIF(PresençaemMarço[9],"E")</f>
        <v>0</v>
      </c>
      <c r="M12" s="93">
        <f>COUNTIF(PresençaemMarço[10],"U")+COUNTIF(PresençaemMarço[10],"E")</f>
        <v>0</v>
      </c>
      <c r="N12" s="93">
        <f>COUNTIF(PresençaemMarço[11],"U")+COUNTIF(PresençaemMarço[11],"E")</f>
        <v>0</v>
      </c>
      <c r="O12" s="93">
        <f>COUNTIF(PresençaemMarço[12],"U")+COUNTIF(PresençaemMarço[12],"E")</f>
        <v>0</v>
      </c>
      <c r="P12" s="93">
        <f>COUNTIF(PresençaemMarço[13],"U")+COUNTIF(PresençaemMarço[13],"E")</f>
        <v>0</v>
      </c>
      <c r="Q12" s="93">
        <f>COUNTIF(PresençaemMarço[14],"U")+COUNTIF(PresençaemMarço[14],"E")</f>
        <v>0</v>
      </c>
      <c r="R12" s="93">
        <f>COUNTIF(PresençaemMarço[15],"U")+COUNTIF(PresençaemMarço[15],"E")</f>
        <v>0</v>
      </c>
      <c r="S12" s="93">
        <f>COUNTIF(PresençaemMarço[16],"U")+COUNTIF(PresençaemMarço[16],"E")</f>
        <v>0</v>
      </c>
      <c r="T12" s="93">
        <f>COUNTIF(PresençaemMarço[17],"U")+COUNTIF(PresençaemMarço[17],"E")</f>
        <v>0</v>
      </c>
      <c r="U12" s="93">
        <f>COUNTIF(PresençaemMarço[18],"U")+COUNTIF(PresençaemMarço[18],"E")</f>
        <v>0</v>
      </c>
      <c r="V12" s="93">
        <f>COUNTIF(PresençaemMarço[19],"U")+COUNTIF(PresençaemMarço[19],"E")</f>
        <v>0</v>
      </c>
      <c r="W12" s="93">
        <f>COUNTIF(PresençaemMarço[20],"U")+COUNTIF(PresençaemMarço[20],"E")</f>
        <v>0</v>
      </c>
      <c r="X12" s="93">
        <f>COUNTIF(PresençaemMarço[21],"U")+COUNTIF(PresençaemMarço[21],"E")</f>
        <v>0</v>
      </c>
      <c r="Y12" s="93">
        <f>COUNTIF(PresençaemMarço[22],"U")+COUNTIF(PresençaemMarço[22],"E")</f>
        <v>0</v>
      </c>
      <c r="Z12" s="93">
        <f>COUNTIF(PresençaemMarço[23],"U")+COUNTIF(PresençaemMarço[23],"E")</f>
        <v>0</v>
      </c>
      <c r="AA12" s="93">
        <f>COUNTIF(PresençaemMarço[24],"U")+COUNTIF(PresençaemMarço[24],"E")</f>
        <v>0</v>
      </c>
      <c r="AB12" s="93">
        <f>COUNTIF(PresençaemMarço[25],"U")+COUNTIF(PresençaemMarço[25],"E")</f>
        <v>0</v>
      </c>
      <c r="AC12" s="93">
        <f>COUNTIF(PresençaemMarço[26],"U")+COUNTIF(PresençaemMarço[26],"E")</f>
        <v>0</v>
      </c>
      <c r="AD12" s="93">
        <f>COUNTIF(PresençaemMarço[27],"U")+COUNTIF(PresençaemMarço[27],"E")</f>
        <v>0</v>
      </c>
      <c r="AE12" s="93">
        <f>COUNTIF(PresençaemMarço[28],"U")+COUNTIF(PresençaemMarço[28],"E")</f>
        <v>0</v>
      </c>
      <c r="AF12" s="93">
        <f>COUNTIF(PresençaemMarço[29],"U")+COUNTIF(PresençaemMarço[29],"E")</f>
        <v>0</v>
      </c>
      <c r="AG12" s="93"/>
      <c r="AH12" s="93"/>
      <c r="AI12" s="93">
        <f>SUBTOTAL(109,PresençaemMarço[T])</f>
        <v>0</v>
      </c>
      <c r="AJ12" s="93">
        <f>SUBTOTAL(109,PresençaemMarço[E])</f>
        <v>0</v>
      </c>
      <c r="AK12" s="93">
        <f>SUBTOTAL(109,PresençaemMarço[f])</f>
        <v>0</v>
      </c>
      <c r="AL12" s="93">
        <f>SUBTOTAL(109,PresençaemMarço[P])</f>
        <v>3</v>
      </c>
      <c r="AM12" s="93">
        <f>SUBTOTAL(109,PresençaemMarço[Dias de Ausência])</f>
        <v>0</v>
      </c>
    </row>
    <row r="13" spans="1:39" ht="16.5" customHeight="1" thickTop="1" x14ac:dyDescent="0.25"/>
    <row r="14" spans="1:39" ht="16.5" customHeight="1" x14ac:dyDescent="0.25"/>
    <row r="15" spans="1:39" ht="16.5" customHeight="1" x14ac:dyDescent="0.25"/>
    <row r="16" spans="1:39" ht="16.5" customHeight="1" x14ac:dyDescent="0.25"/>
    <row r="17" ht="16.5" customHeight="1" x14ac:dyDescent="0.25"/>
    <row r="18" ht="16.5" customHeight="1" x14ac:dyDescent="0.25"/>
    <row r="19" ht="16.5" customHeight="1" x14ac:dyDescent="0.25"/>
    <row r="20" ht="16.5" customHeight="1" x14ac:dyDescent="0.25"/>
    <row r="21" ht="16.5" customHeight="1" x14ac:dyDescent="0.25"/>
    <row r="22" ht="16.5" customHeight="1" x14ac:dyDescent="0.25"/>
    <row r="23" ht="16.5" customHeight="1" x14ac:dyDescent="0.25"/>
    <row r="24" ht="16.5" customHeight="1" x14ac:dyDescent="0.25"/>
    <row r="25" ht="16.5" customHeight="1" x14ac:dyDescent="0.25"/>
    <row r="26" ht="16.5" customHeight="1" x14ac:dyDescent="0.25"/>
    <row r="27" ht="16.5" customHeight="1" x14ac:dyDescent="0.25"/>
    <row r="28" ht="16.5" customHeight="1" x14ac:dyDescent="0.25"/>
    <row r="29" ht="16.5" customHeight="1" x14ac:dyDescent="0.25"/>
    <row r="30" ht="16.5" customHeight="1" x14ac:dyDescent="0.25"/>
    <row r="31" ht="16.5" customHeight="1" x14ac:dyDescent="0.25"/>
    <row r="32" ht="16.5" customHeight="1" x14ac:dyDescent="0.25"/>
    <row r="33" ht="16.5" customHeight="1" x14ac:dyDescent="0.25"/>
    <row r="34" ht="16.5" customHeight="1" x14ac:dyDescent="0.25"/>
    <row r="35" ht="16.5" customHeight="1" x14ac:dyDescent="0.25"/>
    <row r="36" ht="16.5" customHeight="1" x14ac:dyDescent="0.25"/>
    <row r="37" ht="16.5" customHeight="1" x14ac:dyDescent="0.25"/>
    <row r="38" ht="16.5" customHeight="1" x14ac:dyDescent="0.25"/>
    <row r="39" ht="16.5" customHeight="1" x14ac:dyDescent="0.25"/>
    <row r="40" ht="16.5" customHeight="1" x14ac:dyDescent="0.25"/>
    <row r="41" ht="16.5" customHeight="1" x14ac:dyDescent="0.25"/>
    <row r="42" ht="16.5" customHeight="1" x14ac:dyDescent="0.25"/>
    <row r="43" ht="16.5" customHeight="1" x14ac:dyDescent="0.25"/>
    <row r="44" ht="16.5" customHeight="1" x14ac:dyDescent="0.25"/>
    <row r="45" ht="16.5" customHeight="1" x14ac:dyDescent="0.25"/>
    <row r="46" ht="16.5" customHeight="1" x14ac:dyDescent="0.25"/>
    <row r="47" ht="16.5" customHeight="1" x14ac:dyDescent="0.25"/>
    <row r="48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2" ht="16.5" customHeight="1" x14ac:dyDescent="0.25"/>
    <row r="63" ht="16.5" customHeight="1" x14ac:dyDescent="0.25"/>
    <row r="64" ht="16.5" customHeight="1" x14ac:dyDescent="0.25"/>
    <row r="65" ht="16.5" customHeight="1" x14ac:dyDescent="0.25"/>
    <row r="66" ht="16.5" customHeight="1" x14ac:dyDescent="0.25"/>
    <row r="67" ht="16.5" customHeight="1" x14ac:dyDescent="0.25"/>
    <row r="68" ht="16.5" customHeight="1" x14ac:dyDescent="0.25"/>
    <row r="69" ht="16.5" customHeight="1" x14ac:dyDescent="0.25"/>
    <row r="70" ht="16.5" customHeight="1" x14ac:dyDescent="0.25"/>
    <row r="71" ht="16.5" customHeight="1" x14ac:dyDescent="0.25"/>
    <row r="72" ht="16.5" customHeight="1" x14ac:dyDescent="0.25"/>
    <row r="73" ht="16.5" customHeight="1" x14ac:dyDescent="0.25"/>
    <row r="74" ht="16.5" customHeight="1" x14ac:dyDescent="0.25"/>
    <row r="75" ht="16.5" customHeight="1" x14ac:dyDescent="0.25"/>
    <row r="76" ht="16.5" customHeight="1" x14ac:dyDescent="0.25"/>
    <row r="77" ht="16.5" customHeight="1" x14ac:dyDescent="0.25"/>
    <row r="78" ht="16.5" customHeight="1" x14ac:dyDescent="0.25"/>
    <row r="79" ht="16.5" customHeight="1" x14ac:dyDescent="0.25"/>
    <row r="80" ht="16.5" customHeight="1" x14ac:dyDescent="0.25"/>
    <row r="81" ht="16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  <row r="87" ht="16.5" customHeight="1" x14ac:dyDescent="0.25"/>
    <row r="88" ht="16.5" customHeight="1" x14ac:dyDescent="0.25"/>
    <row r="89" ht="16.5" customHeight="1" x14ac:dyDescent="0.25"/>
    <row r="90" ht="16.5" customHeight="1" x14ac:dyDescent="0.25"/>
    <row r="91" ht="16.5" customHeight="1" x14ac:dyDescent="0.25"/>
    <row r="92" ht="16.5" customHeight="1" x14ac:dyDescent="0.25"/>
    <row r="93" ht="16.5" customHeight="1" x14ac:dyDescent="0.25"/>
    <row r="94" ht="16.5" customHeight="1" x14ac:dyDescent="0.25"/>
    <row r="95" ht="16.5" customHeight="1" x14ac:dyDescent="0.25"/>
    <row r="96" ht="16.5" customHeight="1" x14ac:dyDescent="0.25"/>
    <row r="97" ht="16.5" customHeight="1" x14ac:dyDescent="0.25"/>
    <row r="98" ht="16.5" customHeight="1" x14ac:dyDescent="0.25"/>
    <row r="99" ht="16.5" customHeight="1" x14ac:dyDescent="0.25"/>
    <row r="100" ht="16.5" customHeight="1" x14ac:dyDescent="0.25"/>
    <row r="101" ht="16.5" customHeight="1" x14ac:dyDescent="0.25"/>
    <row r="102" ht="16.5" customHeight="1" x14ac:dyDescent="0.25"/>
    <row r="103" ht="16.5" customHeight="1" x14ac:dyDescent="0.25"/>
    <row r="104" ht="16.5" customHeight="1" x14ac:dyDescent="0.25"/>
    <row r="105" ht="16.5" customHeight="1" x14ac:dyDescent="0.25"/>
    <row r="106" ht="16.5" customHeight="1" x14ac:dyDescent="0.25"/>
    <row r="107" ht="16.5" customHeight="1" x14ac:dyDescent="0.25"/>
    <row r="108" ht="16.5" customHeight="1" x14ac:dyDescent="0.25"/>
    <row r="109" ht="16.5" customHeight="1" x14ac:dyDescent="0.25"/>
    <row r="110" ht="16.5" customHeight="1" x14ac:dyDescent="0.25"/>
    <row r="111" ht="16.5" customHeight="1" x14ac:dyDescent="0.25"/>
    <row r="112" ht="16.5" customHeight="1" x14ac:dyDescent="0.25"/>
    <row r="113" ht="16.5" customHeight="1" x14ac:dyDescent="0.25"/>
    <row r="114" ht="16.5" customHeight="1" x14ac:dyDescent="0.25"/>
    <row r="115" ht="16.5" customHeight="1" x14ac:dyDescent="0.25"/>
    <row r="116" ht="16.5" customHeight="1" x14ac:dyDescent="0.25"/>
    <row r="117" ht="16.5" customHeight="1" x14ac:dyDescent="0.25"/>
    <row r="118" ht="16.5" customHeight="1" x14ac:dyDescent="0.25"/>
    <row r="119" ht="16.5" customHeight="1" x14ac:dyDescent="0.25"/>
    <row r="120" ht="16.5" customHeight="1" x14ac:dyDescent="0.25"/>
    <row r="121" ht="16.5" customHeight="1" x14ac:dyDescent="0.25"/>
    <row r="122" ht="16.5" customHeight="1" x14ac:dyDescent="0.25"/>
    <row r="123" ht="16.5" customHeight="1" x14ac:dyDescent="0.25"/>
    <row r="124" ht="16.5" customHeight="1" x14ac:dyDescent="0.25"/>
    <row r="125" ht="16.5" customHeight="1" x14ac:dyDescent="0.25"/>
    <row r="126" ht="16.5" customHeight="1" x14ac:dyDescent="0.25"/>
    <row r="127" ht="16.5" customHeight="1" x14ac:dyDescent="0.25"/>
    <row r="128" ht="16.5" customHeight="1" x14ac:dyDescent="0.25"/>
    <row r="129" ht="16.5" customHeight="1" x14ac:dyDescent="0.25"/>
    <row r="130" ht="16.5" customHeight="1" x14ac:dyDescent="0.25"/>
    <row r="131" ht="16.5" customHeight="1" x14ac:dyDescent="0.25"/>
    <row r="132" ht="16.5" customHeight="1" x14ac:dyDescent="0.25"/>
    <row r="133" ht="16.5" customHeight="1" x14ac:dyDescent="0.25"/>
    <row r="134" ht="16.5" customHeight="1" x14ac:dyDescent="0.25"/>
    <row r="135" ht="16.5" customHeight="1" x14ac:dyDescent="0.25"/>
    <row r="136" ht="16.5" customHeight="1" x14ac:dyDescent="0.25"/>
    <row r="137" ht="16.5" customHeight="1" x14ac:dyDescent="0.25"/>
    <row r="138" ht="16.5" customHeight="1" x14ac:dyDescent="0.25"/>
    <row r="139" ht="16.5" customHeight="1" x14ac:dyDescent="0.25"/>
    <row r="140" ht="16.5" customHeight="1" x14ac:dyDescent="0.25"/>
    <row r="141" ht="16.5" customHeight="1" x14ac:dyDescent="0.25"/>
    <row r="142" ht="16.5" customHeight="1" x14ac:dyDescent="0.25"/>
    <row r="143" ht="16.5" customHeight="1" x14ac:dyDescent="0.25"/>
    <row r="144" ht="16.5" customHeight="1" x14ac:dyDescent="0.25"/>
    <row r="145" ht="16.5" customHeight="1" x14ac:dyDescent="0.25"/>
    <row r="146" ht="16.5" customHeight="1" x14ac:dyDescent="0.25"/>
    <row r="147" ht="16.5" customHeight="1" x14ac:dyDescent="0.25"/>
    <row r="148" ht="16.5" customHeight="1" x14ac:dyDescent="0.25"/>
    <row r="149" ht="16.5" customHeight="1" x14ac:dyDescent="0.25"/>
    <row r="150" ht="16.5" customHeight="1" x14ac:dyDescent="0.25"/>
    <row r="151" ht="16.5" customHeight="1" x14ac:dyDescent="0.25"/>
    <row r="152" ht="16.5" customHeight="1" x14ac:dyDescent="0.25"/>
    <row r="153" ht="16.5" customHeight="1" x14ac:dyDescent="0.25"/>
    <row r="154" ht="16.5" customHeight="1" x14ac:dyDescent="0.25"/>
    <row r="155" ht="16.5" customHeight="1" x14ac:dyDescent="0.25"/>
    <row r="156" ht="16.5" customHeight="1" x14ac:dyDescent="0.25"/>
    <row r="157" ht="16.5" customHeight="1" x14ac:dyDescent="0.25"/>
    <row r="158" ht="16.5" customHeight="1" x14ac:dyDescent="0.25"/>
    <row r="159" ht="16.5" customHeight="1" x14ac:dyDescent="0.25"/>
    <row r="160" ht="16.5" customHeight="1" x14ac:dyDescent="0.25"/>
    <row r="161" ht="16.5" customHeight="1" x14ac:dyDescent="0.25"/>
    <row r="162" ht="16.5" customHeight="1" x14ac:dyDescent="0.25"/>
    <row r="163" ht="16.5" customHeight="1" x14ac:dyDescent="0.25"/>
    <row r="164" ht="16.5" customHeight="1" x14ac:dyDescent="0.25"/>
    <row r="165" ht="16.5" customHeight="1" x14ac:dyDescent="0.25"/>
    <row r="166" ht="16.5" customHeight="1" x14ac:dyDescent="0.25"/>
    <row r="167" ht="16.5" customHeight="1" x14ac:dyDescent="0.25"/>
    <row r="168" ht="16.5" customHeight="1" x14ac:dyDescent="0.25"/>
    <row r="169" ht="16.5" customHeight="1" x14ac:dyDescent="0.25"/>
    <row r="170" ht="16.5" customHeight="1" x14ac:dyDescent="0.25"/>
    <row r="171" ht="16.5" customHeight="1" x14ac:dyDescent="0.25"/>
    <row r="172" ht="16.5" customHeight="1" x14ac:dyDescent="0.25"/>
    <row r="173" ht="16.5" customHeight="1" x14ac:dyDescent="0.25"/>
    <row r="174" ht="16.5" customHeight="1" x14ac:dyDescent="0.25"/>
    <row r="175" ht="16.5" customHeight="1" x14ac:dyDescent="0.25"/>
    <row r="176" ht="16.5" customHeight="1" x14ac:dyDescent="0.25"/>
    <row r="177" ht="16.5" customHeight="1" x14ac:dyDescent="0.25"/>
    <row r="178" ht="16.5" customHeight="1" x14ac:dyDescent="0.25"/>
    <row r="179" ht="16.5" customHeight="1" x14ac:dyDescent="0.25"/>
    <row r="180" ht="16.5" customHeight="1" x14ac:dyDescent="0.25"/>
    <row r="181" ht="16.5" customHeight="1" x14ac:dyDescent="0.25"/>
    <row r="182" ht="16.5" customHeight="1" x14ac:dyDescent="0.25"/>
    <row r="183" ht="16.5" customHeight="1" x14ac:dyDescent="0.25"/>
    <row r="184" ht="16.5" customHeight="1" x14ac:dyDescent="0.25"/>
    <row r="185" ht="16.5" customHeight="1" x14ac:dyDescent="0.25"/>
    <row r="186" ht="16.5" customHeight="1" x14ac:dyDescent="0.25"/>
    <row r="187" ht="16.5" customHeight="1" x14ac:dyDescent="0.25"/>
    <row r="188" ht="16.5" customHeight="1" x14ac:dyDescent="0.25"/>
    <row r="189" ht="16.5" customHeight="1" x14ac:dyDescent="0.25"/>
    <row r="190" ht="16.5" customHeight="1" x14ac:dyDescent="0.25"/>
    <row r="191" ht="16.5" customHeight="1" x14ac:dyDescent="0.25"/>
    <row r="192" ht="16.5" customHeight="1" x14ac:dyDescent="0.25"/>
    <row r="193" ht="16.5" customHeight="1" x14ac:dyDescent="0.25"/>
    <row r="194" ht="16.5" customHeight="1" x14ac:dyDescent="0.25"/>
    <row r="195" ht="16.5" customHeight="1" x14ac:dyDescent="0.25"/>
    <row r="196" ht="16.5" customHeight="1" x14ac:dyDescent="0.25"/>
    <row r="197" ht="16.5" customHeight="1" x14ac:dyDescent="0.25"/>
    <row r="198" ht="16.5" customHeight="1" x14ac:dyDescent="0.25"/>
    <row r="199" ht="16.5" customHeight="1" x14ac:dyDescent="0.25"/>
    <row r="200" ht="16.5" customHeight="1" x14ac:dyDescent="0.25"/>
    <row r="201" ht="16.5" customHeight="1" x14ac:dyDescent="0.25"/>
    <row r="202" ht="16.5" customHeight="1" x14ac:dyDescent="0.25"/>
    <row r="203" ht="16.5" customHeight="1" x14ac:dyDescent="0.25"/>
    <row r="204" ht="16.5" customHeight="1" x14ac:dyDescent="0.25"/>
    <row r="205" ht="16.5" customHeight="1" x14ac:dyDescent="0.25"/>
    <row r="206" ht="16.5" customHeight="1" x14ac:dyDescent="0.25"/>
    <row r="207" ht="16.5" customHeight="1" x14ac:dyDescent="0.25"/>
    <row r="208" ht="16.5" customHeight="1" x14ac:dyDescent="0.25"/>
    <row r="209" ht="16.5" customHeight="1" x14ac:dyDescent="0.25"/>
    <row r="210" ht="16.5" customHeight="1" x14ac:dyDescent="0.25"/>
    <row r="211" ht="16.5" customHeight="1" x14ac:dyDescent="0.25"/>
    <row r="212" ht="16.5" customHeight="1" x14ac:dyDescent="0.25"/>
    <row r="213" ht="16.5" customHeight="1" x14ac:dyDescent="0.25"/>
    <row r="214" ht="16.5" customHeight="1" x14ac:dyDescent="0.25"/>
    <row r="215" ht="16.5" customHeight="1" x14ac:dyDescent="0.25"/>
    <row r="216" ht="16.5" customHeight="1" x14ac:dyDescent="0.25"/>
    <row r="217" ht="16.5" customHeight="1" x14ac:dyDescent="0.25"/>
    <row r="218" ht="16.5" customHeight="1" x14ac:dyDescent="0.25"/>
    <row r="219" ht="16.5" customHeight="1" x14ac:dyDescent="0.25"/>
    <row r="220" ht="16.5" customHeight="1" x14ac:dyDescent="0.25"/>
    <row r="221" ht="16.5" customHeight="1" x14ac:dyDescent="0.25"/>
    <row r="222" ht="16.5" customHeight="1" x14ac:dyDescent="0.25"/>
    <row r="223" ht="16.5" customHeight="1" x14ac:dyDescent="0.25"/>
    <row r="224" ht="16.5" customHeight="1" x14ac:dyDescent="0.25"/>
    <row r="225" ht="16.5" customHeight="1" x14ac:dyDescent="0.25"/>
    <row r="226" ht="16.5" customHeight="1" x14ac:dyDescent="0.25"/>
    <row r="227" ht="16.5" customHeight="1" x14ac:dyDescent="0.25"/>
    <row r="228" ht="16.5" customHeight="1" x14ac:dyDescent="0.25"/>
    <row r="229" ht="16.5" customHeight="1" x14ac:dyDescent="0.25"/>
    <row r="230" ht="16.5" customHeight="1" x14ac:dyDescent="0.25"/>
    <row r="231" ht="16.5" customHeight="1" x14ac:dyDescent="0.25"/>
    <row r="232" ht="16.5" customHeight="1" x14ac:dyDescent="0.25"/>
    <row r="233" ht="16.5" customHeight="1" x14ac:dyDescent="0.25"/>
    <row r="234" ht="16.5" customHeight="1" x14ac:dyDescent="0.25"/>
    <row r="235" ht="16.5" customHeight="1" x14ac:dyDescent="0.25"/>
    <row r="236" ht="16.5" customHeight="1" x14ac:dyDescent="0.25"/>
    <row r="237" ht="16.5" customHeight="1" x14ac:dyDescent="0.25"/>
    <row r="238" ht="16.5" customHeight="1" x14ac:dyDescent="0.25"/>
    <row r="239" ht="16.5" customHeight="1" x14ac:dyDescent="0.25"/>
    <row r="240" ht="16.5" customHeight="1" x14ac:dyDescent="0.25"/>
    <row r="241" ht="16.5" customHeight="1" x14ac:dyDescent="0.25"/>
    <row r="242" ht="16.5" customHeight="1" x14ac:dyDescent="0.25"/>
    <row r="243" ht="16.5" customHeight="1" x14ac:dyDescent="0.25"/>
    <row r="244" ht="16.5" customHeight="1" x14ac:dyDescent="0.25"/>
    <row r="245" ht="16.5" customHeight="1" x14ac:dyDescent="0.25"/>
    <row r="246" ht="16.5" customHeight="1" x14ac:dyDescent="0.25"/>
    <row r="247" ht="16.5" customHeight="1" x14ac:dyDescent="0.25"/>
    <row r="248" ht="16.5" customHeight="1" x14ac:dyDescent="0.25"/>
    <row r="249" ht="16.5" customHeight="1" x14ac:dyDescent="0.25"/>
    <row r="250" ht="16.5" customHeight="1" x14ac:dyDescent="0.25"/>
    <row r="251" ht="16.5" customHeight="1" x14ac:dyDescent="0.25"/>
    <row r="252" ht="16.5" customHeight="1" x14ac:dyDescent="0.25"/>
    <row r="253" ht="16.5" customHeight="1" x14ac:dyDescent="0.25"/>
    <row r="254" ht="16.5" customHeight="1" x14ac:dyDescent="0.25"/>
    <row r="255" ht="16.5" customHeight="1" x14ac:dyDescent="0.25"/>
    <row r="256" ht="16.5" customHeight="1" x14ac:dyDescent="0.25"/>
    <row r="257" ht="16.5" customHeight="1" x14ac:dyDescent="0.25"/>
    <row r="258" ht="16.5" customHeight="1" x14ac:dyDescent="0.25"/>
    <row r="259" ht="16.5" customHeight="1" x14ac:dyDescent="0.25"/>
    <row r="260" ht="16.5" customHeight="1" x14ac:dyDescent="0.25"/>
    <row r="261" ht="16.5" customHeight="1" x14ac:dyDescent="0.25"/>
    <row r="262" ht="16.5" customHeight="1" x14ac:dyDescent="0.25"/>
    <row r="263" ht="16.5" customHeight="1" x14ac:dyDescent="0.25"/>
    <row r="264" ht="16.5" customHeight="1" x14ac:dyDescent="0.25"/>
  </sheetData>
  <sheetProtection formatCells="0" formatColumns="0" formatRows="0" insertColumns="0" insertRows="0" insertHyperlinks="0" deleteColumns="0" deleteRows="0" sort="0" autoFilter="0" pivotTables="0"/>
  <mergeCells count="1">
    <mergeCell ref="AI5:AM5"/>
  </mergeCells>
  <conditionalFormatting sqref="D7:AF11">
    <cfRule type="expression" dxfId="30" priority="2" stopIfTrue="1">
      <formula>D7=Código2</formula>
    </cfRule>
    <cfRule type="expression" dxfId="29" priority="3" stopIfTrue="1">
      <formula>D7=Código5</formula>
    </cfRule>
    <cfRule type="expression" dxfId="28" priority="4" stopIfTrue="1">
      <formula>D7=Código4</formula>
    </cfRule>
    <cfRule type="expression" dxfId="27" priority="5" stopIfTrue="1">
      <formula>D7=Código3</formula>
    </cfRule>
    <cfRule type="expression" dxfId="26" priority="6" stopIfTrue="1">
      <formula>D7=Código1</formula>
    </cfRule>
  </conditionalFormatting>
  <conditionalFormatting sqref="AM7:AM11">
    <cfRule type="dataBar" priority="1">
      <dataBar>
        <cfvo type="min"/>
        <cfvo type="num" val="DATEDIF(DATE(AnoCalendário,2,1),DATE(AnoCalendário,3,1),&quot;d&quot;)"/>
        <color theme="4"/>
      </dataBar>
      <extLst>
        <ext xmlns:x14="http://schemas.microsoft.com/office/spreadsheetml/2009/9/main" uri="{B025F937-C7B1-47D3-B67F-A62EFF666E3E}">
          <x14:id>{FE16E06C-E989-439D-8944-FBFC073CA68C}</x14:id>
        </ext>
      </extLst>
    </cfRule>
  </conditionalFormatting>
  <dataValidations count="1">
    <dataValidation type="list" errorStyle="warning" allowBlank="1" showInputMessage="1" showErrorMessage="1" errorTitle="Ops!" error="A ID de Aluno que você inseriu não está na planilha Lista de Alunos. Você pode clicar em Sim para usar a ID de Aluno inserida, mas ela não estará disponível na planilha Relatório de Presença dos Alunos." sqref="B7:B11" xr:uid="{00000000-0002-0000-0A00-000000000000}">
      <formula1>IDAluno</formula1>
    </dataValidation>
  </dataValidations>
  <printOptions horizontalCentered="1"/>
  <pageMargins left="0.5" right="0.5" top="0.75" bottom="0.75" header="0.3" footer="0.3"/>
  <pageSetup paperSize="9" scale="59" fitToHeight="0" orientation="landscape" verticalDpi="1200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E16E06C-E989-439D-8944-FBFC073CA68C}">
            <x14:dataBar minLength="0" maxLength="100" border="1" negativeBarBorderColorSameAsPositive="0">
              <x14:cfvo type="autoMin"/>
              <x14:cfvo type="num">
                <xm:f>DATEDIF(DATE(AnoCalendário,2,1),DATE(AnoCalendário,3,1),"d")</xm:f>
              </x14:cfvo>
              <x14:borderColor theme="4"/>
              <x14:negativeFillColor rgb="FFFF0000"/>
              <x14:negativeBorderColor rgb="FFFF0000"/>
              <x14:axisColor rgb="FF000000"/>
            </x14:dataBar>
          </x14:cfRule>
          <xm:sqref>AM7:AM11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/>
    <pageSetUpPr fitToPage="1"/>
  </sheetPr>
  <dimension ref="A1:AM264"/>
  <sheetViews>
    <sheetView showGridLines="0" zoomScaleNormal="100" workbookViewId="0">
      <pane xSplit="3" ySplit="6" topLeftCell="D7" activePane="bottomRight" state="frozen"/>
      <selection activeCell="Y16" sqref="Y16"/>
      <selection pane="topRight" activeCell="Y16" sqref="Y16"/>
      <selection pane="bottomLeft" activeCell="Y16" sqref="Y16"/>
      <selection pane="bottomRight" activeCell="K1" sqref="K1"/>
    </sheetView>
  </sheetViews>
  <sheetFormatPr defaultColWidth="9.109375" defaultRowHeight="15" customHeight="1" x14ac:dyDescent="0.25"/>
  <cols>
    <col min="1" max="1" width="2.6640625" style="8" customWidth="1"/>
    <col min="2" max="2" width="11.88671875" style="8" bestFit="1" customWidth="1"/>
    <col min="3" max="3" width="28.88671875" style="9" customWidth="1"/>
    <col min="4" max="34" width="5" style="7" customWidth="1"/>
    <col min="35" max="35" width="4.6640625" style="6" customWidth="1"/>
    <col min="36" max="36" width="4.6640625" style="7" customWidth="1"/>
    <col min="37" max="38" width="4.6640625" style="8" customWidth="1"/>
    <col min="39" max="39" width="19.5546875" style="8" bestFit="1" customWidth="1"/>
    <col min="40" max="16384" width="9.109375" style="8"/>
  </cols>
  <sheetData>
    <row r="1" spans="1:39" s="1" customFormat="1" ht="42" customHeight="1" x14ac:dyDescent="0.25">
      <c r="A1" s="21" t="s">
        <v>88</v>
      </c>
      <c r="B1" s="22"/>
      <c r="C1" s="22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2"/>
      <c r="AD1" s="22"/>
      <c r="AE1" s="22"/>
      <c r="AF1" s="22"/>
      <c r="AG1" s="24"/>
      <c r="AH1" s="22"/>
      <c r="AI1" s="22"/>
      <c r="AJ1" s="25"/>
      <c r="AK1" s="22"/>
      <c r="AL1" s="34" t="s">
        <v>72</v>
      </c>
      <c r="AM1" s="35">
        <f>AnoCalendário</f>
        <v>2016</v>
      </c>
    </row>
    <row r="2" spans="1:39" customFormat="1" ht="13.2" x14ac:dyDescent="0.25"/>
    <row r="3" spans="1:39" s="17" customFormat="1" ht="12.75" customHeight="1" x14ac:dyDescent="0.25">
      <c r="C3" s="27" t="str">
        <f>TextodaChavedeCor</f>
        <v xml:space="preserve">CHAVE COLORIDA </v>
      </c>
      <c r="D3" s="28" t="str">
        <f>Código1</f>
        <v>T</v>
      </c>
      <c r="E3" s="41" t="str">
        <f>TextodeCódigo1</f>
        <v>Atrasado</v>
      </c>
      <c r="F3" s="33"/>
      <c r="H3" s="29" t="str">
        <f>Código2</f>
        <v>E</v>
      </c>
      <c r="I3" s="33" t="str">
        <f>TextodeCódigo2</f>
        <v>Dispensado</v>
      </c>
      <c r="L3" s="30" t="str">
        <f>Código3</f>
        <v>F</v>
      </c>
      <c r="M3" s="33" t="str">
        <f>TextodeCódigo3</f>
        <v>faltou a aula</v>
      </c>
      <c r="P3" s="31" t="str">
        <f>Código4</f>
        <v>P</v>
      </c>
      <c r="Q3" s="33" t="str">
        <f>TextodeCódigo4</f>
        <v>Presente</v>
      </c>
      <c r="T3" s="32" t="str">
        <f>Código5</f>
        <v>N</v>
      </c>
      <c r="U3" s="33" t="str">
        <f>TextodeCódigo5</f>
        <v>Sem Aula</v>
      </c>
      <c r="W3"/>
      <c r="X3"/>
      <c r="Y3"/>
      <c r="AD3" s="16"/>
      <c r="AE3" s="16"/>
      <c r="AH3" s="18"/>
      <c r="AI3" s="19"/>
      <c r="AK3" s="20"/>
    </row>
    <row r="4" spans="1:39" customFormat="1" ht="16.5" customHeight="1" x14ac:dyDescent="0.25"/>
    <row r="5" spans="1:39" s="2" customFormat="1" ht="18" customHeight="1" thickBot="1" x14ac:dyDescent="0.35">
      <c r="B5" s="79">
        <f>DATE(AnoCalendário+1,4,1)</f>
        <v>42826</v>
      </c>
      <c r="C5" s="80"/>
      <c r="D5" s="81" t="str">
        <f>TEXT(WEEKDAY(DATE(AnoCalendário+1,4,1),1),"ddd")</f>
        <v>sáb</v>
      </c>
      <c r="E5" s="81" t="str">
        <f>TEXT(WEEKDAY(DATE(AnoCalendário+1,4,2),1),"ddd")</f>
        <v>dom</v>
      </c>
      <c r="F5" s="81" t="str">
        <f>TEXT(WEEKDAY(DATE(AnoCalendário+1,4,3),1),"ddd")</f>
        <v>seg</v>
      </c>
      <c r="G5" s="81" t="str">
        <f>TEXT(WEEKDAY(DATE(AnoCalendário+1,4,4),1),"ddd")</f>
        <v>ter</v>
      </c>
      <c r="H5" s="81" t="str">
        <f>TEXT(WEEKDAY(DATE(AnoCalendário+1,4,5),1),"ddd")</f>
        <v>qua</v>
      </c>
      <c r="I5" s="81" t="str">
        <f>TEXT(WEEKDAY(DATE(AnoCalendário+1,4,6),1),"ddd")</f>
        <v>qui</v>
      </c>
      <c r="J5" s="81" t="str">
        <f>TEXT(WEEKDAY(DATE(AnoCalendário+1,4,7),1),"ddd")</f>
        <v>sex</v>
      </c>
      <c r="K5" s="81" t="str">
        <f>TEXT(WEEKDAY(DATE(AnoCalendário+1,4,8),1),"ddd")</f>
        <v>sáb</v>
      </c>
      <c r="L5" s="81" t="str">
        <f>TEXT(WEEKDAY(DATE(AnoCalendário+1,4,9),1),"ddd")</f>
        <v>dom</v>
      </c>
      <c r="M5" s="81" t="str">
        <f>TEXT(WEEKDAY(DATE(AnoCalendário+1,4,10),1),"ddd")</f>
        <v>seg</v>
      </c>
      <c r="N5" s="81" t="str">
        <f>TEXT(WEEKDAY(DATE(AnoCalendário+1,4,11),1),"ddd")</f>
        <v>ter</v>
      </c>
      <c r="O5" s="81" t="str">
        <f>TEXT(WEEKDAY(DATE(AnoCalendário+1,4,12),1),"ddd")</f>
        <v>qua</v>
      </c>
      <c r="P5" s="81" t="str">
        <f>TEXT(WEEKDAY(DATE(AnoCalendário+1,4,13),1),"ddd")</f>
        <v>qui</v>
      </c>
      <c r="Q5" s="81" t="str">
        <f>TEXT(WEEKDAY(DATE(AnoCalendário+1,4,14),1),"ddd")</f>
        <v>sex</v>
      </c>
      <c r="R5" s="81" t="str">
        <f>TEXT(WEEKDAY(DATE(AnoCalendário+1,4,15),1),"ddd")</f>
        <v>sáb</v>
      </c>
      <c r="S5" s="81" t="str">
        <f>TEXT(WEEKDAY(DATE(AnoCalendário+1,4,16),1),"ddd")</f>
        <v>dom</v>
      </c>
      <c r="T5" s="81" t="str">
        <f>TEXT(WEEKDAY(DATE(AnoCalendário+1,4,17),1),"ddd")</f>
        <v>seg</v>
      </c>
      <c r="U5" s="81" t="str">
        <f>TEXT(WEEKDAY(DATE(AnoCalendário+1,4,18),1),"ddd")</f>
        <v>ter</v>
      </c>
      <c r="V5" s="81" t="str">
        <f>TEXT(WEEKDAY(DATE(AnoCalendário+1,4,19),1),"ddd")</f>
        <v>qua</v>
      </c>
      <c r="W5" s="81" t="str">
        <f>TEXT(WEEKDAY(DATE(AnoCalendário+1,4,20),1),"ddd")</f>
        <v>qui</v>
      </c>
      <c r="X5" s="81" t="str">
        <f>TEXT(WEEKDAY(DATE(AnoCalendário+1,4,21),1),"ddd")</f>
        <v>sex</v>
      </c>
      <c r="Y5" s="81" t="str">
        <f>TEXT(WEEKDAY(DATE(AnoCalendário+1,4,22),1),"ddd")</f>
        <v>sáb</v>
      </c>
      <c r="Z5" s="81" t="str">
        <f>TEXT(WEEKDAY(DATE(AnoCalendário+1,4,23),1),"ddd")</f>
        <v>dom</v>
      </c>
      <c r="AA5" s="81" t="str">
        <f>TEXT(WEEKDAY(DATE(AnoCalendário+1,4,24),1),"ddd")</f>
        <v>seg</v>
      </c>
      <c r="AB5" s="81" t="str">
        <f>TEXT(WEEKDAY(DATE(AnoCalendário+1,4,25),1),"ddd")</f>
        <v>ter</v>
      </c>
      <c r="AC5" s="81" t="str">
        <f>TEXT(WEEKDAY(DATE(AnoCalendário+1,4,26),1),"ddd")</f>
        <v>qua</v>
      </c>
      <c r="AD5" s="81" t="str">
        <f>TEXT(WEEKDAY(DATE(AnoCalendário+1,4,27),1),"ddd")</f>
        <v>qui</v>
      </c>
      <c r="AE5" s="81" t="str">
        <f>TEXT(WEEKDAY(DATE(AnoCalendário+1,4,28),1),"ddd")</f>
        <v>sex</v>
      </c>
      <c r="AF5" s="81" t="str">
        <f>TEXT(WEEKDAY(DATE(AnoCalendário+1,4,29),1),"ddd")</f>
        <v>sáb</v>
      </c>
      <c r="AG5" s="81" t="str">
        <f>TEXT(WEEKDAY(DATE(AnoCalendário+1,4,30),1),"ddd")</f>
        <v>dom</v>
      </c>
      <c r="AH5" s="81"/>
      <c r="AI5" s="108" t="s">
        <v>41</v>
      </c>
      <c r="AJ5" s="108"/>
      <c r="AK5" s="108"/>
      <c r="AL5" s="108"/>
      <c r="AM5" s="108"/>
    </row>
    <row r="6" spans="1:39" ht="14.25" customHeight="1" thickTop="1" thickBot="1" x14ac:dyDescent="0.3">
      <c r="B6" s="82" t="s">
        <v>34</v>
      </c>
      <c r="C6" s="83" t="s">
        <v>36</v>
      </c>
      <c r="D6" s="84" t="s">
        <v>0</v>
      </c>
      <c r="E6" s="84" t="s">
        <v>1</v>
      </c>
      <c r="F6" s="84" t="s">
        <v>2</v>
      </c>
      <c r="G6" s="84" t="s">
        <v>3</v>
      </c>
      <c r="H6" s="84" t="s">
        <v>4</v>
      </c>
      <c r="I6" s="84" t="s">
        <v>5</v>
      </c>
      <c r="J6" s="84" t="s">
        <v>6</v>
      </c>
      <c r="K6" s="84" t="s">
        <v>7</v>
      </c>
      <c r="L6" s="84" t="s">
        <v>8</v>
      </c>
      <c r="M6" s="84" t="s">
        <v>9</v>
      </c>
      <c r="N6" s="84" t="s">
        <v>10</v>
      </c>
      <c r="O6" s="84" t="s">
        <v>11</v>
      </c>
      <c r="P6" s="84" t="s">
        <v>12</v>
      </c>
      <c r="Q6" s="84" t="s">
        <v>13</v>
      </c>
      <c r="R6" s="84" t="s">
        <v>14</v>
      </c>
      <c r="S6" s="84" t="s">
        <v>15</v>
      </c>
      <c r="T6" s="84" t="s">
        <v>16</v>
      </c>
      <c r="U6" s="84" t="s">
        <v>17</v>
      </c>
      <c r="V6" s="84" t="s">
        <v>18</v>
      </c>
      <c r="W6" s="84" t="s">
        <v>19</v>
      </c>
      <c r="X6" s="84" t="s">
        <v>20</v>
      </c>
      <c r="Y6" s="84" t="s">
        <v>21</v>
      </c>
      <c r="Z6" s="84" t="s">
        <v>22</v>
      </c>
      <c r="AA6" s="84" t="s">
        <v>23</v>
      </c>
      <c r="AB6" s="84" t="s">
        <v>24</v>
      </c>
      <c r="AC6" s="84" t="s">
        <v>25</v>
      </c>
      <c r="AD6" s="84" t="s">
        <v>26</v>
      </c>
      <c r="AE6" s="84" t="s">
        <v>27</v>
      </c>
      <c r="AF6" s="84" t="s">
        <v>28</v>
      </c>
      <c r="AG6" s="84" t="s">
        <v>29</v>
      </c>
      <c r="AH6" s="84" t="s">
        <v>113</v>
      </c>
      <c r="AI6" s="95" t="s">
        <v>37</v>
      </c>
      <c r="AJ6" s="86" t="s">
        <v>39</v>
      </c>
      <c r="AK6" s="87" t="s">
        <v>38</v>
      </c>
      <c r="AL6" s="88" t="s">
        <v>31</v>
      </c>
      <c r="AM6" s="91" t="s">
        <v>40</v>
      </c>
    </row>
    <row r="7" spans="1:39" ht="16.5" customHeight="1" thickTop="1" thickBot="1" x14ac:dyDescent="0.3">
      <c r="B7" s="96"/>
      <c r="C7" s="97" t="str">
        <f>IFERROR(VLOOKUP(PresençaemAbril[[#This Row],[ID do Aluno]],ListadeAlunos[],18,FALSE),"")</f>
        <v/>
      </c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9"/>
      <c r="AG7" s="84"/>
      <c r="AH7" s="84"/>
      <c r="AI7" s="100">
        <f>COUNTIF(PresençaemAbril[[#This Row],[1]:[ ]],Código1)</f>
        <v>0</v>
      </c>
      <c r="AJ7" s="100">
        <f>COUNTIF(PresençaemAbril[[#This Row],[1]:[ ]],Código2)</f>
        <v>0</v>
      </c>
      <c r="AK7" s="100">
        <f>COUNTIF(PresençaemAbril[[#This Row],[1]:[ ]],Código3)</f>
        <v>0</v>
      </c>
      <c r="AL7" s="100">
        <f>COUNTIF(PresençaemAbril[[#This Row],[1]:[ ]],Código4)</f>
        <v>0</v>
      </c>
      <c r="AM7" s="93">
        <f>SUM(PresençaemAbril[[#This Row],[E]:[U]])</f>
        <v>0</v>
      </c>
    </row>
    <row r="8" spans="1:39" ht="16.5" customHeight="1" thickTop="1" thickBot="1" x14ac:dyDescent="0.3">
      <c r="B8" s="96"/>
      <c r="C8" s="101" t="str">
        <f>IFERROR(VLOOKUP(PresençaemAbril[[#This Row],[ID do Aluno]],ListadeAlunos[],18,FALSE),"")</f>
        <v/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9"/>
      <c r="AG8" s="84"/>
      <c r="AH8" s="84"/>
      <c r="AI8" s="100">
        <f>COUNTIF(PresençaemAbril[[#This Row],[1]:[ ]],Código1)</f>
        <v>0</v>
      </c>
      <c r="AJ8" s="100">
        <f>COUNTIF(PresençaemAbril[[#This Row],[1]:[ ]],Código2)</f>
        <v>0</v>
      </c>
      <c r="AK8" s="100">
        <f>COUNTIF(PresençaemAbril[[#This Row],[1]:[ ]],Código3)</f>
        <v>0</v>
      </c>
      <c r="AL8" s="100">
        <f>COUNTIF(PresençaemAbril[[#This Row],[1]:[ ]],Código4)</f>
        <v>0</v>
      </c>
      <c r="AM8" s="93">
        <f>SUM(PresençaemAbril[[#This Row],[E]:[U]])</f>
        <v>0</v>
      </c>
    </row>
    <row r="9" spans="1:39" ht="16.5" customHeight="1" thickTop="1" thickBot="1" x14ac:dyDescent="0.3">
      <c r="B9" s="96"/>
      <c r="C9" s="101" t="str">
        <f>IFERROR(VLOOKUP(PresençaemAbril[[#This Row],[ID do Aluno]],ListadeAlunos[],18,FALSE),"")</f>
        <v/>
      </c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9"/>
      <c r="AG9" s="84"/>
      <c r="AH9" s="84"/>
      <c r="AI9" s="100">
        <f>COUNTIF(PresençaemAbril[[#This Row],[1]:[ ]],Código1)</f>
        <v>0</v>
      </c>
      <c r="AJ9" s="100">
        <f>COUNTIF(PresençaemAbril[[#This Row],[1]:[ ]],Código2)</f>
        <v>0</v>
      </c>
      <c r="AK9" s="100">
        <f>COUNTIF(PresençaemAbril[[#This Row],[1]:[ ]],Código3)</f>
        <v>0</v>
      </c>
      <c r="AL9" s="100">
        <f>COUNTIF(PresençaemAbril[[#This Row],[1]:[ ]],Código4)</f>
        <v>0</v>
      </c>
      <c r="AM9" s="93">
        <f>SUM(PresençaemAbril[[#This Row],[E]:[U]])</f>
        <v>0</v>
      </c>
    </row>
    <row r="10" spans="1:39" ht="16.5" customHeight="1" thickTop="1" thickBot="1" x14ac:dyDescent="0.3">
      <c r="B10" s="96"/>
      <c r="C10" s="101" t="str">
        <f>IFERROR(VLOOKUP(PresençaemAbril[[#This Row],[ID do Aluno]],ListadeAlunos[],18,FALSE),"")</f>
        <v/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9"/>
      <c r="AG10" s="84"/>
      <c r="AH10" s="84"/>
      <c r="AI10" s="100">
        <f>COUNTIF(PresençaemAbril[[#This Row],[1]:[ ]],Código1)</f>
        <v>0</v>
      </c>
      <c r="AJ10" s="100">
        <f>COUNTIF(PresençaemAbril[[#This Row],[1]:[ ]],Código2)</f>
        <v>0</v>
      </c>
      <c r="AK10" s="100">
        <f>COUNTIF(PresençaemAbril[[#This Row],[1]:[ ]],Código3)</f>
        <v>0</v>
      </c>
      <c r="AL10" s="100">
        <f>COUNTIF(PresençaemAbril[[#This Row],[1]:[ ]],Código4)</f>
        <v>0</v>
      </c>
      <c r="AM10" s="93">
        <f>SUM(PresençaemAbril[[#This Row],[E]:[U]])</f>
        <v>0</v>
      </c>
    </row>
    <row r="11" spans="1:39" ht="16.5" customHeight="1" thickTop="1" thickBot="1" x14ac:dyDescent="0.3">
      <c r="B11" s="96"/>
      <c r="C11" s="101" t="str">
        <f>IFERROR(VLOOKUP(PresençaemAbril[[#This Row],[ID do Aluno]],ListadeAlunos[],18,FALSE),"")</f>
        <v/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9"/>
      <c r="AG11" s="84"/>
      <c r="AH11" s="84"/>
      <c r="AI11" s="100">
        <f>COUNTIF(PresençaemAbril[[#This Row],[1]:[ ]],Código1)</f>
        <v>0</v>
      </c>
      <c r="AJ11" s="100">
        <f>COUNTIF(PresençaemAbril[[#This Row],[1]:[ ]],Código2)</f>
        <v>0</v>
      </c>
      <c r="AK11" s="100">
        <f>COUNTIF(PresençaemAbril[[#This Row],[1]:[ ]],Código3)</f>
        <v>0</v>
      </c>
      <c r="AL11" s="100">
        <f>COUNTIF(PresençaemAbril[[#This Row],[1]:[ ]],Código4)</f>
        <v>0</v>
      </c>
      <c r="AM11" s="93">
        <f>SUM(PresençaemAbril[[#This Row],[E]:[U]])</f>
        <v>0</v>
      </c>
    </row>
    <row r="12" spans="1:39" ht="16.5" customHeight="1" thickTop="1" thickBot="1" x14ac:dyDescent="0.3">
      <c r="B12" s="84"/>
      <c r="C12" s="89" t="s">
        <v>114</v>
      </c>
      <c r="D12" s="93">
        <f>COUNTIF(PresençaemAbril[1],"U")+COUNTIF(PresençaemAbril[1],"E")</f>
        <v>0</v>
      </c>
      <c r="E12" s="93">
        <f>COUNTIF(PresençaemAbril[2],"U")+COUNTIF(PresençaemAbril[2],"E")</f>
        <v>0</v>
      </c>
      <c r="F12" s="93">
        <f>COUNTIF(PresençaemAbril[3],"U")+COUNTIF(PresençaemAbril[3],"E")</f>
        <v>0</v>
      </c>
      <c r="G12" s="93">
        <f>COUNTIF(PresençaemAbril[4],"U")+COUNTIF(PresençaemAbril[4],"E")</f>
        <v>0</v>
      </c>
      <c r="H12" s="93">
        <f>COUNTIF(PresençaemAbril[5],"U")+COUNTIF(PresençaemAbril[5],"E")</f>
        <v>0</v>
      </c>
      <c r="I12" s="93">
        <f>COUNTIF(PresençaemAbril[6],"U")+COUNTIF(PresençaemAbril[6],"E")</f>
        <v>0</v>
      </c>
      <c r="J12" s="93">
        <f>COUNTIF(PresençaemAbril[7],"U")+COUNTIF(PresençaemAbril[7],"E")</f>
        <v>0</v>
      </c>
      <c r="K12" s="93">
        <f>COUNTIF(PresençaemAbril[8],"U")+COUNTIF(PresençaemAbril[8],"E")</f>
        <v>0</v>
      </c>
      <c r="L12" s="93">
        <f>COUNTIF(PresençaemAbril[9],"U")+COUNTIF(PresençaemAbril[9],"E")</f>
        <v>0</v>
      </c>
      <c r="M12" s="93">
        <f>COUNTIF(PresençaemAbril[10],"U")+COUNTIF(PresençaemAbril[10],"E")</f>
        <v>0</v>
      </c>
      <c r="N12" s="93">
        <f>COUNTIF(PresençaemAbril[11],"U")+COUNTIF(PresençaemAbril[11],"E")</f>
        <v>0</v>
      </c>
      <c r="O12" s="93">
        <f>COUNTIF(PresençaemAbril[12],"U")+COUNTIF(PresençaemAbril[12],"E")</f>
        <v>0</v>
      </c>
      <c r="P12" s="93">
        <f>COUNTIF(PresençaemAbril[13],"U")+COUNTIF(PresençaemAbril[13],"E")</f>
        <v>0</v>
      </c>
      <c r="Q12" s="93">
        <f>COUNTIF(PresençaemAbril[14],"U")+COUNTIF(PresençaemAbril[14],"E")</f>
        <v>0</v>
      </c>
      <c r="R12" s="93">
        <f>COUNTIF(PresençaemAbril[15],"U")+COUNTIF(PresençaemAbril[15],"E")</f>
        <v>0</v>
      </c>
      <c r="S12" s="93">
        <f>COUNTIF(PresençaemAbril[16],"U")+COUNTIF(PresençaemAbril[16],"E")</f>
        <v>0</v>
      </c>
      <c r="T12" s="93">
        <f>COUNTIF(PresençaemAbril[17],"U")+COUNTIF(PresençaemAbril[17],"E")</f>
        <v>0</v>
      </c>
      <c r="U12" s="93">
        <f>COUNTIF(PresençaemAbril[18],"U")+COUNTIF(PresençaemAbril[18],"E")</f>
        <v>0</v>
      </c>
      <c r="V12" s="93">
        <f>COUNTIF(PresençaemAbril[19],"U")+COUNTIF(PresençaemAbril[19],"E")</f>
        <v>0</v>
      </c>
      <c r="W12" s="93">
        <f>COUNTIF(PresençaemAbril[20],"U")+COUNTIF(PresençaemAbril[20],"E")</f>
        <v>0</v>
      </c>
      <c r="X12" s="93">
        <f>COUNTIF(PresençaemAbril[21],"U")+COUNTIF(PresençaemAbril[21],"E")</f>
        <v>0</v>
      </c>
      <c r="Y12" s="93">
        <f>COUNTIF(PresençaemAbril[22],"U")+COUNTIF(PresençaemAbril[22],"E")</f>
        <v>0</v>
      </c>
      <c r="Z12" s="93">
        <f>COUNTIF(PresençaemAbril[23],"U")+COUNTIF(PresençaemAbril[23],"E")</f>
        <v>0</v>
      </c>
      <c r="AA12" s="93">
        <f>COUNTIF(PresençaemAbril[24],"U")+COUNTIF(PresençaemAbril[24],"E")</f>
        <v>0</v>
      </c>
      <c r="AB12" s="93">
        <f>COUNTIF(PresençaemAbril[25],"U")+COUNTIF(PresençaemAbril[25],"E")</f>
        <v>0</v>
      </c>
      <c r="AC12" s="93">
        <f>COUNTIF(PresençaemAbril[26],"U")+COUNTIF(PresençaemAbril[26],"E")</f>
        <v>0</v>
      </c>
      <c r="AD12" s="93">
        <f>COUNTIF(PresençaemAbril[27],"U")+COUNTIF(PresençaemAbril[27],"E")</f>
        <v>0</v>
      </c>
      <c r="AE12" s="93">
        <f>COUNTIF(PresençaemAbril[28],"U")+COUNTIF(PresençaemAbril[28],"E")</f>
        <v>0</v>
      </c>
      <c r="AF12" s="93">
        <f>COUNTIF(PresençaemAbril[29],"U")+COUNTIF(PresençaemAbril[29],"E")</f>
        <v>0</v>
      </c>
      <c r="AG12" s="93"/>
      <c r="AH12" s="93"/>
      <c r="AI12" s="93">
        <f>SUBTOTAL(109,PresençaemAbril[T])</f>
        <v>0</v>
      </c>
      <c r="AJ12" s="93">
        <f>SUBTOTAL(109,PresençaemAbril[E])</f>
        <v>0</v>
      </c>
      <c r="AK12" s="93">
        <f>SUBTOTAL(109,PresençaemAbril[U])</f>
        <v>0</v>
      </c>
      <c r="AL12" s="93">
        <f>SUBTOTAL(109,PresençaemAbril[P])</f>
        <v>0</v>
      </c>
      <c r="AM12" s="93">
        <f>SUBTOTAL(109,PresençaemAbril[Dias de Ausência])</f>
        <v>0</v>
      </c>
    </row>
    <row r="13" spans="1:39" ht="16.5" customHeight="1" thickTop="1" x14ac:dyDescent="0.25"/>
    <row r="14" spans="1:39" ht="16.5" customHeight="1" x14ac:dyDescent="0.25"/>
    <row r="15" spans="1:39" ht="16.5" customHeight="1" x14ac:dyDescent="0.25"/>
    <row r="16" spans="1:39" ht="16.5" customHeight="1" x14ac:dyDescent="0.25"/>
    <row r="17" ht="16.5" customHeight="1" x14ac:dyDescent="0.25"/>
    <row r="18" ht="16.5" customHeight="1" x14ac:dyDescent="0.25"/>
    <row r="19" ht="16.5" customHeight="1" x14ac:dyDescent="0.25"/>
    <row r="20" ht="16.5" customHeight="1" x14ac:dyDescent="0.25"/>
    <row r="21" ht="16.5" customHeight="1" x14ac:dyDescent="0.25"/>
    <row r="22" ht="16.5" customHeight="1" x14ac:dyDescent="0.25"/>
    <row r="23" ht="16.5" customHeight="1" x14ac:dyDescent="0.25"/>
    <row r="24" ht="16.5" customHeight="1" x14ac:dyDescent="0.25"/>
    <row r="25" ht="16.5" customHeight="1" x14ac:dyDescent="0.25"/>
    <row r="26" ht="16.5" customHeight="1" x14ac:dyDescent="0.25"/>
    <row r="27" ht="16.5" customHeight="1" x14ac:dyDescent="0.25"/>
    <row r="28" ht="16.5" customHeight="1" x14ac:dyDescent="0.25"/>
    <row r="29" ht="16.5" customHeight="1" x14ac:dyDescent="0.25"/>
    <row r="30" ht="16.5" customHeight="1" x14ac:dyDescent="0.25"/>
    <row r="31" ht="16.5" customHeight="1" x14ac:dyDescent="0.25"/>
    <row r="32" ht="16.5" customHeight="1" x14ac:dyDescent="0.25"/>
    <row r="33" ht="16.5" customHeight="1" x14ac:dyDescent="0.25"/>
    <row r="34" ht="16.5" customHeight="1" x14ac:dyDescent="0.25"/>
    <row r="35" ht="16.5" customHeight="1" x14ac:dyDescent="0.25"/>
    <row r="36" ht="16.5" customHeight="1" x14ac:dyDescent="0.25"/>
    <row r="37" ht="16.5" customHeight="1" x14ac:dyDescent="0.25"/>
    <row r="38" ht="16.5" customHeight="1" x14ac:dyDescent="0.25"/>
    <row r="39" ht="16.5" customHeight="1" x14ac:dyDescent="0.25"/>
    <row r="40" ht="16.5" customHeight="1" x14ac:dyDescent="0.25"/>
    <row r="41" ht="16.5" customHeight="1" x14ac:dyDescent="0.25"/>
    <row r="42" ht="16.5" customHeight="1" x14ac:dyDescent="0.25"/>
    <row r="43" ht="16.5" customHeight="1" x14ac:dyDescent="0.25"/>
    <row r="44" ht="16.5" customHeight="1" x14ac:dyDescent="0.25"/>
    <row r="45" ht="16.5" customHeight="1" x14ac:dyDescent="0.25"/>
    <row r="46" ht="16.5" customHeight="1" x14ac:dyDescent="0.25"/>
    <row r="47" ht="16.5" customHeight="1" x14ac:dyDescent="0.25"/>
    <row r="48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2" ht="16.5" customHeight="1" x14ac:dyDescent="0.25"/>
    <row r="63" ht="16.5" customHeight="1" x14ac:dyDescent="0.25"/>
    <row r="64" ht="16.5" customHeight="1" x14ac:dyDescent="0.25"/>
    <row r="65" ht="16.5" customHeight="1" x14ac:dyDescent="0.25"/>
    <row r="66" ht="16.5" customHeight="1" x14ac:dyDescent="0.25"/>
    <row r="67" ht="16.5" customHeight="1" x14ac:dyDescent="0.25"/>
    <row r="68" ht="16.5" customHeight="1" x14ac:dyDescent="0.25"/>
    <row r="69" ht="16.5" customHeight="1" x14ac:dyDescent="0.25"/>
    <row r="70" ht="16.5" customHeight="1" x14ac:dyDescent="0.25"/>
    <row r="71" ht="16.5" customHeight="1" x14ac:dyDescent="0.25"/>
    <row r="72" ht="16.5" customHeight="1" x14ac:dyDescent="0.25"/>
    <row r="73" ht="16.5" customHeight="1" x14ac:dyDescent="0.25"/>
    <row r="74" ht="16.5" customHeight="1" x14ac:dyDescent="0.25"/>
    <row r="75" ht="16.5" customHeight="1" x14ac:dyDescent="0.25"/>
    <row r="76" ht="16.5" customHeight="1" x14ac:dyDescent="0.25"/>
    <row r="77" ht="16.5" customHeight="1" x14ac:dyDescent="0.25"/>
    <row r="78" ht="16.5" customHeight="1" x14ac:dyDescent="0.25"/>
    <row r="79" ht="16.5" customHeight="1" x14ac:dyDescent="0.25"/>
    <row r="80" ht="16.5" customHeight="1" x14ac:dyDescent="0.25"/>
    <row r="81" ht="16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  <row r="87" ht="16.5" customHeight="1" x14ac:dyDescent="0.25"/>
    <row r="88" ht="16.5" customHeight="1" x14ac:dyDescent="0.25"/>
    <row r="89" ht="16.5" customHeight="1" x14ac:dyDescent="0.25"/>
    <row r="90" ht="16.5" customHeight="1" x14ac:dyDescent="0.25"/>
    <row r="91" ht="16.5" customHeight="1" x14ac:dyDescent="0.25"/>
    <row r="92" ht="16.5" customHeight="1" x14ac:dyDescent="0.25"/>
    <row r="93" ht="16.5" customHeight="1" x14ac:dyDescent="0.25"/>
    <row r="94" ht="16.5" customHeight="1" x14ac:dyDescent="0.25"/>
    <row r="95" ht="16.5" customHeight="1" x14ac:dyDescent="0.25"/>
    <row r="96" ht="16.5" customHeight="1" x14ac:dyDescent="0.25"/>
    <row r="97" ht="16.5" customHeight="1" x14ac:dyDescent="0.25"/>
    <row r="98" ht="16.5" customHeight="1" x14ac:dyDescent="0.25"/>
    <row r="99" ht="16.5" customHeight="1" x14ac:dyDescent="0.25"/>
    <row r="100" ht="16.5" customHeight="1" x14ac:dyDescent="0.25"/>
    <row r="101" ht="16.5" customHeight="1" x14ac:dyDescent="0.25"/>
    <row r="102" ht="16.5" customHeight="1" x14ac:dyDescent="0.25"/>
    <row r="103" ht="16.5" customHeight="1" x14ac:dyDescent="0.25"/>
    <row r="104" ht="16.5" customHeight="1" x14ac:dyDescent="0.25"/>
    <row r="105" ht="16.5" customHeight="1" x14ac:dyDescent="0.25"/>
    <row r="106" ht="16.5" customHeight="1" x14ac:dyDescent="0.25"/>
    <row r="107" ht="16.5" customHeight="1" x14ac:dyDescent="0.25"/>
    <row r="108" ht="16.5" customHeight="1" x14ac:dyDescent="0.25"/>
    <row r="109" ht="16.5" customHeight="1" x14ac:dyDescent="0.25"/>
    <row r="110" ht="16.5" customHeight="1" x14ac:dyDescent="0.25"/>
    <row r="111" ht="16.5" customHeight="1" x14ac:dyDescent="0.25"/>
    <row r="112" ht="16.5" customHeight="1" x14ac:dyDescent="0.25"/>
    <row r="113" ht="16.5" customHeight="1" x14ac:dyDescent="0.25"/>
    <row r="114" ht="16.5" customHeight="1" x14ac:dyDescent="0.25"/>
    <row r="115" ht="16.5" customHeight="1" x14ac:dyDescent="0.25"/>
    <row r="116" ht="16.5" customHeight="1" x14ac:dyDescent="0.25"/>
    <row r="117" ht="16.5" customHeight="1" x14ac:dyDescent="0.25"/>
    <row r="118" ht="16.5" customHeight="1" x14ac:dyDescent="0.25"/>
    <row r="119" ht="16.5" customHeight="1" x14ac:dyDescent="0.25"/>
    <row r="120" ht="16.5" customHeight="1" x14ac:dyDescent="0.25"/>
    <row r="121" ht="16.5" customHeight="1" x14ac:dyDescent="0.25"/>
    <row r="122" ht="16.5" customHeight="1" x14ac:dyDescent="0.25"/>
    <row r="123" ht="16.5" customHeight="1" x14ac:dyDescent="0.25"/>
    <row r="124" ht="16.5" customHeight="1" x14ac:dyDescent="0.25"/>
    <row r="125" ht="16.5" customHeight="1" x14ac:dyDescent="0.25"/>
    <row r="126" ht="16.5" customHeight="1" x14ac:dyDescent="0.25"/>
    <row r="127" ht="16.5" customHeight="1" x14ac:dyDescent="0.25"/>
    <row r="128" ht="16.5" customHeight="1" x14ac:dyDescent="0.25"/>
    <row r="129" ht="16.5" customHeight="1" x14ac:dyDescent="0.25"/>
    <row r="130" ht="16.5" customHeight="1" x14ac:dyDescent="0.25"/>
    <row r="131" ht="16.5" customHeight="1" x14ac:dyDescent="0.25"/>
    <row r="132" ht="16.5" customHeight="1" x14ac:dyDescent="0.25"/>
    <row r="133" ht="16.5" customHeight="1" x14ac:dyDescent="0.25"/>
    <row r="134" ht="16.5" customHeight="1" x14ac:dyDescent="0.25"/>
    <row r="135" ht="16.5" customHeight="1" x14ac:dyDescent="0.25"/>
    <row r="136" ht="16.5" customHeight="1" x14ac:dyDescent="0.25"/>
    <row r="137" ht="16.5" customHeight="1" x14ac:dyDescent="0.25"/>
    <row r="138" ht="16.5" customHeight="1" x14ac:dyDescent="0.25"/>
    <row r="139" ht="16.5" customHeight="1" x14ac:dyDescent="0.25"/>
    <row r="140" ht="16.5" customHeight="1" x14ac:dyDescent="0.25"/>
    <row r="141" ht="16.5" customHeight="1" x14ac:dyDescent="0.25"/>
    <row r="142" ht="16.5" customHeight="1" x14ac:dyDescent="0.25"/>
    <row r="143" ht="16.5" customHeight="1" x14ac:dyDescent="0.25"/>
    <row r="144" ht="16.5" customHeight="1" x14ac:dyDescent="0.25"/>
    <row r="145" ht="16.5" customHeight="1" x14ac:dyDescent="0.25"/>
    <row r="146" ht="16.5" customHeight="1" x14ac:dyDescent="0.25"/>
    <row r="147" ht="16.5" customHeight="1" x14ac:dyDescent="0.25"/>
    <row r="148" ht="16.5" customHeight="1" x14ac:dyDescent="0.25"/>
    <row r="149" ht="16.5" customHeight="1" x14ac:dyDescent="0.25"/>
    <row r="150" ht="16.5" customHeight="1" x14ac:dyDescent="0.25"/>
    <row r="151" ht="16.5" customHeight="1" x14ac:dyDescent="0.25"/>
    <row r="152" ht="16.5" customHeight="1" x14ac:dyDescent="0.25"/>
    <row r="153" ht="16.5" customHeight="1" x14ac:dyDescent="0.25"/>
    <row r="154" ht="16.5" customHeight="1" x14ac:dyDescent="0.25"/>
    <row r="155" ht="16.5" customHeight="1" x14ac:dyDescent="0.25"/>
    <row r="156" ht="16.5" customHeight="1" x14ac:dyDescent="0.25"/>
    <row r="157" ht="16.5" customHeight="1" x14ac:dyDescent="0.25"/>
    <row r="158" ht="16.5" customHeight="1" x14ac:dyDescent="0.25"/>
    <row r="159" ht="16.5" customHeight="1" x14ac:dyDescent="0.25"/>
    <row r="160" ht="16.5" customHeight="1" x14ac:dyDescent="0.25"/>
    <row r="161" ht="16.5" customHeight="1" x14ac:dyDescent="0.25"/>
    <row r="162" ht="16.5" customHeight="1" x14ac:dyDescent="0.25"/>
    <row r="163" ht="16.5" customHeight="1" x14ac:dyDescent="0.25"/>
    <row r="164" ht="16.5" customHeight="1" x14ac:dyDescent="0.25"/>
    <row r="165" ht="16.5" customHeight="1" x14ac:dyDescent="0.25"/>
    <row r="166" ht="16.5" customHeight="1" x14ac:dyDescent="0.25"/>
    <row r="167" ht="16.5" customHeight="1" x14ac:dyDescent="0.25"/>
    <row r="168" ht="16.5" customHeight="1" x14ac:dyDescent="0.25"/>
    <row r="169" ht="16.5" customHeight="1" x14ac:dyDescent="0.25"/>
    <row r="170" ht="16.5" customHeight="1" x14ac:dyDescent="0.25"/>
    <row r="171" ht="16.5" customHeight="1" x14ac:dyDescent="0.25"/>
    <row r="172" ht="16.5" customHeight="1" x14ac:dyDescent="0.25"/>
    <row r="173" ht="16.5" customHeight="1" x14ac:dyDescent="0.25"/>
    <row r="174" ht="16.5" customHeight="1" x14ac:dyDescent="0.25"/>
    <row r="175" ht="16.5" customHeight="1" x14ac:dyDescent="0.25"/>
    <row r="176" ht="16.5" customHeight="1" x14ac:dyDescent="0.25"/>
    <row r="177" ht="16.5" customHeight="1" x14ac:dyDescent="0.25"/>
    <row r="178" ht="16.5" customHeight="1" x14ac:dyDescent="0.25"/>
    <row r="179" ht="16.5" customHeight="1" x14ac:dyDescent="0.25"/>
    <row r="180" ht="16.5" customHeight="1" x14ac:dyDescent="0.25"/>
    <row r="181" ht="16.5" customHeight="1" x14ac:dyDescent="0.25"/>
    <row r="182" ht="16.5" customHeight="1" x14ac:dyDescent="0.25"/>
    <row r="183" ht="16.5" customHeight="1" x14ac:dyDescent="0.25"/>
    <row r="184" ht="16.5" customHeight="1" x14ac:dyDescent="0.25"/>
    <row r="185" ht="16.5" customHeight="1" x14ac:dyDescent="0.25"/>
    <row r="186" ht="16.5" customHeight="1" x14ac:dyDescent="0.25"/>
    <row r="187" ht="16.5" customHeight="1" x14ac:dyDescent="0.25"/>
    <row r="188" ht="16.5" customHeight="1" x14ac:dyDescent="0.25"/>
    <row r="189" ht="16.5" customHeight="1" x14ac:dyDescent="0.25"/>
    <row r="190" ht="16.5" customHeight="1" x14ac:dyDescent="0.25"/>
    <row r="191" ht="16.5" customHeight="1" x14ac:dyDescent="0.25"/>
    <row r="192" ht="16.5" customHeight="1" x14ac:dyDescent="0.25"/>
    <row r="193" ht="16.5" customHeight="1" x14ac:dyDescent="0.25"/>
    <row r="194" ht="16.5" customHeight="1" x14ac:dyDescent="0.25"/>
    <row r="195" ht="16.5" customHeight="1" x14ac:dyDescent="0.25"/>
    <row r="196" ht="16.5" customHeight="1" x14ac:dyDescent="0.25"/>
    <row r="197" ht="16.5" customHeight="1" x14ac:dyDescent="0.25"/>
    <row r="198" ht="16.5" customHeight="1" x14ac:dyDescent="0.25"/>
    <row r="199" ht="16.5" customHeight="1" x14ac:dyDescent="0.25"/>
    <row r="200" ht="16.5" customHeight="1" x14ac:dyDescent="0.25"/>
    <row r="201" ht="16.5" customHeight="1" x14ac:dyDescent="0.25"/>
    <row r="202" ht="16.5" customHeight="1" x14ac:dyDescent="0.25"/>
    <row r="203" ht="16.5" customHeight="1" x14ac:dyDescent="0.25"/>
    <row r="204" ht="16.5" customHeight="1" x14ac:dyDescent="0.25"/>
    <row r="205" ht="16.5" customHeight="1" x14ac:dyDescent="0.25"/>
    <row r="206" ht="16.5" customHeight="1" x14ac:dyDescent="0.25"/>
    <row r="207" ht="16.5" customHeight="1" x14ac:dyDescent="0.25"/>
    <row r="208" ht="16.5" customHeight="1" x14ac:dyDescent="0.25"/>
    <row r="209" ht="16.5" customHeight="1" x14ac:dyDescent="0.25"/>
    <row r="210" ht="16.5" customHeight="1" x14ac:dyDescent="0.25"/>
    <row r="211" ht="16.5" customHeight="1" x14ac:dyDescent="0.25"/>
    <row r="212" ht="16.5" customHeight="1" x14ac:dyDescent="0.25"/>
    <row r="213" ht="16.5" customHeight="1" x14ac:dyDescent="0.25"/>
    <row r="214" ht="16.5" customHeight="1" x14ac:dyDescent="0.25"/>
    <row r="215" ht="16.5" customHeight="1" x14ac:dyDescent="0.25"/>
    <row r="216" ht="16.5" customHeight="1" x14ac:dyDescent="0.25"/>
    <row r="217" ht="16.5" customHeight="1" x14ac:dyDescent="0.25"/>
    <row r="218" ht="16.5" customHeight="1" x14ac:dyDescent="0.25"/>
    <row r="219" ht="16.5" customHeight="1" x14ac:dyDescent="0.25"/>
    <row r="220" ht="16.5" customHeight="1" x14ac:dyDescent="0.25"/>
    <row r="221" ht="16.5" customHeight="1" x14ac:dyDescent="0.25"/>
    <row r="222" ht="16.5" customHeight="1" x14ac:dyDescent="0.25"/>
    <row r="223" ht="16.5" customHeight="1" x14ac:dyDescent="0.25"/>
    <row r="224" ht="16.5" customHeight="1" x14ac:dyDescent="0.25"/>
    <row r="225" ht="16.5" customHeight="1" x14ac:dyDescent="0.25"/>
    <row r="226" ht="16.5" customHeight="1" x14ac:dyDescent="0.25"/>
    <row r="227" ht="16.5" customHeight="1" x14ac:dyDescent="0.25"/>
    <row r="228" ht="16.5" customHeight="1" x14ac:dyDescent="0.25"/>
    <row r="229" ht="16.5" customHeight="1" x14ac:dyDescent="0.25"/>
    <row r="230" ht="16.5" customHeight="1" x14ac:dyDescent="0.25"/>
    <row r="231" ht="16.5" customHeight="1" x14ac:dyDescent="0.25"/>
    <row r="232" ht="16.5" customHeight="1" x14ac:dyDescent="0.25"/>
    <row r="233" ht="16.5" customHeight="1" x14ac:dyDescent="0.25"/>
    <row r="234" ht="16.5" customHeight="1" x14ac:dyDescent="0.25"/>
    <row r="235" ht="16.5" customHeight="1" x14ac:dyDescent="0.25"/>
    <row r="236" ht="16.5" customHeight="1" x14ac:dyDescent="0.25"/>
    <row r="237" ht="16.5" customHeight="1" x14ac:dyDescent="0.25"/>
    <row r="238" ht="16.5" customHeight="1" x14ac:dyDescent="0.25"/>
    <row r="239" ht="16.5" customHeight="1" x14ac:dyDescent="0.25"/>
    <row r="240" ht="16.5" customHeight="1" x14ac:dyDescent="0.25"/>
    <row r="241" ht="16.5" customHeight="1" x14ac:dyDescent="0.25"/>
    <row r="242" ht="16.5" customHeight="1" x14ac:dyDescent="0.25"/>
    <row r="243" ht="16.5" customHeight="1" x14ac:dyDescent="0.25"/>
    <row r="244" ht="16.5" customHeight="1" x14ac:dyDescent="0.25"/>
    <row r="245" ht="16.5" customHeight="1" x14ac:dyDescent="0.25"/>
    <row r="246" ht="16.5" customHeight="1" x14ac:dyDescent="0.25"/>
    <row r="247" ht="16.5" customHeight="1" x14ac:dyDescent="0.25"/>
    <row r="248" ht="16.5" customHeight="1" x14ac:dyDescent="0.25"/>
    <row r="249" ht="16.5" customHeight="1" x14ac:dyDescent="0.25"/>
    <row r="250" ht="16.5" customHeight="1" x14ac:dyDescent="0.25"/>
    <row r="251" ht="16.5" customHeight="1" x14ac:dyDescent="0.25"/>
    <row r="252" ht="16.5" customHeight="1" x14ac:dyDescent="0.25"/>
    <row r="253" ht="16.5" customHeight="1" x14ac:dyDescent="0.25"/>
    <row r="254" ht="16.5" customHeight="1" x14ac:dyDescent="0.25"/>
    <row r="255" ht="16.5" customHeight="1" x14ac:dyDescent="0.25"/>
    <row r="256" ht="16.5" customHeight="1" x14ac:dyDescent="0.25"/>
    <row r="257" ht="16.5" customHeight="1" x14ac:dyDescent="0.25"/>
    <row r="258" ht="16.5" customHeight="1" x14ac:dyDescent="0.25"/>
    <row r="259" ht="16.5" customHeight="1" x14ac:dyDescent="0.25"/>
    <row r="260" ht="16.5" customHeight="1" x14ac:dyDescent="0.25"/>
    <row r="261" ht="16.5" customHeight="1" x14ac:dyDescent="0.25"/>
    <row r="262" ht="16.5" customHeight="1" x14ac:dyDescent="0.25"/>
    <row r="263" ht="16.5" customHeight="1" x14ac:dyDescent="0.25"/>
    <row r="264" ht="16.5" customHeight="1" x14ac:dyDescent="0.25"/>
  </sheetData>
  <sheetProtection formatCells="0" formatColumns="0" formatRows="0" insertColumns="0" insertRows="0" insertHyperlinks="0" deleteColumns="0" deleteRows="0" sort="0" autoFilter="0" pivotTables="0"/>
  <mergeCells count="1">
    <mergeCell ref="AI5:AM5"/>
  </mergeCells>
  <conditionalFormatting sqref="D7:AF11">
    <cfRule type="expression" dxfId="25" priority="2" stopIfTrue="1">
      <formula>D7=Código2</formula>
    </cfRule>
    <cfRule type="expression" dxfId="24" priority="3" stopIfTrue="1">
      <formula>D7=Código5</formula>
    </cfRule>
    <cfRule type="expression" dxfId="23" priority="4" stopIfTrue="1">
      <formula>D7=Código4</formula>
    </cfRule>
    <cfRule type="expression" dxfId="22" priority="5" stopIfTrue="1">
      <formula>D7=Código3</formula>
    </cfRule>
    <cfRule type="expression" dxfId="21" priority="6" stopIfTrue="1">
      <formula>D7=Código1</formula>
    </cfRule>
  </conditionalFormatting>
  <conditionalFormatting sqref="AM7:AM11">
    <cfRule type="dataBar" priority="1">
      <dataBar>
        <cfvo type="min"/>
        <cfvo type="num" val="DATEDIF(DATE(AnoCalendário,2,1),DATE(AnoCalendário,3,1),&quot;d&quot;)"/>
        <color theme="4"/>
      </dataBar>
      <extLst>
        <ext xmlns:x14="http://schemas.microsoft.com/office/spreadsheetml/2009/9/main" uri="{B025F937-C7B1-47D3-B67F-A62EFF666E3E}">
          <x14:id>{9FD523D2-45CA-45DA-93F8-59B772F50C00}</x14:id>
        </ext>
      </extLst>
    </cfRule>
  </conditionalFormatting>
  <dataValidations count="1">
    <dataValidation type="list" errorStyle="warning" allowBlank="1" showInputMessage="1" showErrorMessage="1" errorTitle="Ops!" error="A ID de Aluno que você inseriu não está na planilha Lista de Alunos. Você pode clicar em Sim para usar a ID de Aluno inserida, mas ela não estará disponível na planilha Relatório de Presença dos Alunos." sqref="B7:B11" xr:uid="{00000000-0002-0000-0B00-000000000000}">
      <formula1>IDAluno</formula1>
    </dataValidation>
  </dataValidations>
  <printOptions horizontalCentered="1"/>
  <pageMargins left="0.5" right="0.5" top="0.75" bottom="0.75" header="0.3" footer="0.3"/>
  <pageSetup paperSize="9" scale="59" fitToHeight="0" orientation="landscape" verticalDpi="1200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FD523D2-45CA-45DA-93F8-59B772F50C00}">
            <x14:dataBar minLength="0" maxLength="100" border="1" negativeBarBorderColorSameAsPositive="0">
              <x14:cfvo type="autoMin"/>
              <x14:cfvo type="num">
                <xm:f>DATEDIF(DATE(AnoCalendário,2,1),DATE(AnoCalendário,3,1),"d")</xm:f>
              </x14:cfvo>
              <x14:borderColor theme="4"/>
              <x14:negativeFillColor rgb="FFFF0000"/>
              <x14:negativeBorderColor rgb="FFFF0000"/>
              <x14:axisColor rgb="FF000000"/>
            </x14:dataBar>
          </x14:cfRule>
          <xm:sqref>AM7:AM11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39997558519241921"/>
    <pageSetUpPr fitToPage="1"/>
  </sheetPr>
  <dimension ref="A1:AM264"/>
  <sheetViews>
    <sheetView showGridLines="0" zoomScaleNormal="100" workbookViewId="0">
      <pane xSplit="3" ySplit="6" topLeftCell="D7" activePane="bottomRight" state="frozen"/>
      <selection activeCell="Y16" sqref="Y16"/>
      <selection pane="topRight" activeCell="Y16" sqref="Y16"/>
      <selection pane="bottomLeft" activeCell="Y16" sqref="Y16"/>
      <selection pane="bottomRight" activeCell="K1" sqref="K1"/>
    </sheetView>
  </sheetViews>
  <sheetFormatPr defaultColWidth="9.109375" defaultRowHeight="15" customHeight="1" x14ac:dyDescent="0.25"/>
  <cols>
    <col min="1" max="1" width="2.6640625" style="8" customWidth="1"/>
    <col min="2" max="2" width="11.88671875" style="8" bestFit="1" customWidth="1"/>
    <col min="3" max="3" width="28.88671875" style="9" customWidth="1"/>
    <col min="4" max="34" width="5" style="7" customWidth="1"/>
    <col min="35" max="35" width="4.6640625" style="6" customWidth="1"/>
    <col min="36" max="36" width="4.6640625" style="7" customWidth="1"/>
    <col min="37" max="38" width="4.6640625" style="8" customWidth="1"/>
    <col min="39" max="39" width="19.5546875" style="8" bestFit="1" customWidth="1"/>
    <col min="40" max="16384" width="9.109375" style="8"/>
  </cols>
  <sheetData>
    <row r="1" spans="1:39" s="1" customFormat="1" ht="42" customHeight="1" x14ac:dyDescent="0.25">
      <c r="A1" s="21" t="s">
        <v>88</v>
      </c>
      <c r="B1" s="22"/>
      <c r="C1" s="22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2"/>
      <c r="AD1" s="22"/>
      <c r="AE1" s="22"/>
      <c r="AF1" s="22"/>
      <c r="AG1" s="24"/>
      <c r="AH1" s="22"/>
      <c r="AI1" s="22"/>
      <c r="AJ1" s="25"/>
      <c r="AK1" s="22"/>
      <c r="AL1" s="34" t="s">
        <v>72</v>
      </c>
      <c r="AM1" s="35">
        <f>AnoCalendário</f>
        <v>2016</v>
      </c>
    </row>
    <row r="2" spans="1:39" customFormat="1" ht="13.2" x14ac:dyDescent="0.25"/>
    <row r="3" spans="1:39" s="17" customFormat="1" ht="12.75" customHeight="1" x14ac:dyDescent="0.25">
      <c r="C3" s="27" t="str">
        <f>TextodaChavedeCor</f>
        <v xml:space="preserve">CHAVE COLORIDA </v>
      </c>
      <c r="D3" s="28" t="str">
        <f>Código1</f>
        <v>T</v>
      </c>
      <c r="E3" s="41" t="str">
        <f>TextodeCódigo1</f>
        <v>Atrasado</v>
      </c>
      <c r="F3" s="33"/>
      <c r="H3" s="29" t="str">
        <f>Código2</f>
        <v>E</v>
      </c>
      <c r="I3" s="33" t="str">
        <f>TextodeCódigo2</f>
        <v>Dispensado</v>
      </c>
      <c r="L3" s="30" t="str">
        <f>Código3</f>
        <v>F</v>
      </c>
      <c r="M3" s="33" t="str">
        <f>TextodeCódigo3</f>
        <v>faltou a aula</v>
      </c>
      <c r="P3" s="31" t="str">
        <f>Código4</f>
        <v>P</v>
      </c>
      <c r="Q3" s="33" t="str">
        <f>TextodeCódigo4</f>
        <v>Presente</v>
      </c>
      <c r="T3" s="32" t="str">
        <f>Código5</f>
        <v>N</v>
      </c>
      <c r="U3" s="33" t="str">
        <f>TextodeCódigo5</f>
        <v>Sem Aula</v>
      </c>
      <c r="W3"/>
      <c r="X3"/>
      <c r="Y3"/>
      <c r="AD3" s="16"/>
      <c r="AE3" s="16"/>
      <c r="AH3" s="18"/>
      <c r="AI3" s="19"/>
      <c r="AK3" s="20"/>
    </row>
    <row r="4" spans="1:39" customFormat="1" ht="16.5" customHeight="1" x14ac:dyDescent="0.25"/>
    <row r="5" spans="1:39" s="2" customFormat="1" ht="18" customHeight="1" thickBot="1" x14ac:dyDescent="0.35">
      <c r="B5" s="79">
        <f>DATE(AnoCalendário+1,5,1)</f>
        <v>42856</v>
      </c>
      <c r="C5" s="80"/>
      <c r="D5" s="81" t="str">
        <f>TEXT(WEEKDAY(DATE(AnoCalendário+1,5,1),1),"ddd")</f>
        <v>seg</v>
      </c>
      <c r="E5" s="81" t="str">
        <f>TEXT(WEEKDAY(DATE(AnoCalendário+1,5,2),1),"ddd")</f>
        <v>ter</v>
      </c>
      <c r="F5" s="81" t="str">
        <f>TEXT(WEEKDAY(DATE(AnoCalendário+1,5,3),1),"ddd")</f>
        <v>qua</v>
      </c>
      <c r="G5" s="81" t="str">
        <f>TEXT(WEEKDAY(DATE(AnoCalendário+1,5,4),1),"ddd")</f>
        <v>qui</v>
      </c>
      <c r="H5" s="81" t="str">
        <f>TEXT(WEEKDAY(DATE(AnoCalendário+1,5,5),1),"ddd")</f>
        <v>sex</v>
      </c>
      <c r="I5" s="81" t="str">
        <f>TEXT(WEEKDAY(DATE(AnoCalendário+1,5,6),1),"ddd")</f>
        <v>sáb</v>
      </c>
      <c r="J5" s="81" t="str">
        <f>TEXT(WEEKDAY(DATE(AnoCalendário+1,5,7),1),"ddd")</f>
        <v>dom</v>
      </c>
      <c r="K5" s="81" t="str">
        <f>TEXT(WEEKDAY(DATE(AnoCalendário+1,5,8),1),"ddd")</f>
        <v>seg</v>
      </c>
      <c r="L5" s="81" t="str">
        <f>TEXT(WEEKDAY(DATE(AnoCalendário+1,5,9),1),"ddd")</f>
        <v>ter</v>
      </c>
      <c r="M5" s="81" t="str">
        <f>TEXT(WEEKDAY(DATE(AnoCalendário+1,5,10),1),"ddd")</f>
        <v>qua</v>
      </c>
      <c r="N5" s="81" t="str">
        <f>TEXT(WEEKDAY(DATE(AnoCalendário+1,5,11),1),"ddd")</f>
        <v>qui</v>
      </c>
      <c r="O5" s="81" t="str">
        <f>TEXT(WEEKDAY(DATE(AnoCalendário+1,5,12),1),"ddd")</f>
        <v>sex</v>
      </c>
      <c r="P5" s="81" t="str">
        <f>TEXT(WEEKDAY(DATE(AnoCalendário+1,5,13),1),"ddd")</f>
        <v>sáb</v>
      </c>
      <c r="Q5" s="81" t="str">
        <f>TEXT(WEEKDAY(DATE(AnoCalendário+1,5,14),1),"ddd")</f>
        <v>dom</v>
      </c>
      <c r="R5" s="81" t="str">
        <f>TEXT(WEEKDAY(DATE(AnoCalendário+1,5,15),1),"ddd")</f>
        <v>seg</v>
      </c>
      <c r="S5" s="81" t="str">
        <f>TEXT(WEEKDAY(DATE(AnoCalendário+1,5,16),1),"ddd")</f>
        <v>ter</v>
      </c>
      <c r="T5" s="81" t="str">
        <f>TEXT(WEEKDAY(DATE(AnoCalendário+1,5,17),1),"ddd")</f>
        <v>qua</v>
      </c>
      <c r="U5" s="81" t="str">
        <f>TEXT(WEEKDAY(DATE(AnoCalendário+1,5,18),1),"ddd")</f>
        <v>qui</v>
      </c>
      <c r="V5" s="81" t="str">
        <f>TEXT(WEEKDAY(DATE(AnoCalendário+1,5,19),1),"ddd")</f>
        <v>sex</v>
      </c>
      <c r="W5" s="81" t="str">
        <f>TEXT(WEEKDAY(DATE(AnoCalendário+1,5,20),1),"ddd")</f>
        <v>sáb</v>
      </c>
      <c r="X5" s="81" t="str">
        <f>TEXT(WEEKDAY(DATE(AnoCalendário+1,5,21),1),"ddd")</f>
        <v>dom</v>
      </c>
      <c r="Y5" s="81" t="str">
        <f>TEXT(WEEKDAY(DATE(AnoCalendário+1,5,22),1),"ddd")</f>
        <v>seg</v>
      </c>
      <c r="Z5" s="81" t="str">
        <f>TEXT(WEEKDAY(DATE(AnoCalendário+1,5,23),1),"ddd")</f>
        <v>ter</v>
      </c>
      <c r="AA5" s="81" t="str">
        <f>TEXT(WEEKDAY(DATE(AnoCalendário+1,5,24),1),"ddd")</f>
        <v>qua</v>
      </c>
      <c r="AB5" s="81" t="str">
        <f>TEXT(WEEKDAY(DATE(AnoCalendário+1,5,25),1),"ddd")</f>
        <v>qui</v>
      </c>
      <c r="AC5" s="81" t="str">
        <f>TEXT(WEEKDAY(DATE(AnoCalendário+1,5,26),1),"ddd")</f>
        <v>sex</v>
      </c>
      <c r="AD5" s="81" t="str">
        <f>TEXT(WEEKDAY(DATE(AnoCalendário+1,5,27),1),"ddd")</f>
        <v>sáb</v>
      </c>
      <c r="AE5" s="81" t="str">
        <f>TEXT(WEEKDAY(DATE(AnoCalendário+1,5,28),1),"ddd")</f>
        <v>dom</v>
      </c>
      <c r="AF5" s="81" t="str">
        <f>TEXT(WEEKDAY(DATE(AnoCalendário+1,5,29),1),"ddd")</f>
        <v>seg</v>
      </c>
      <c r="AG5" s="81" t="str">
        <f>TEXT(WEEKDAY(DATE(AnoCalendário+1,5,30),1),"ddd")</f>
        <v>ter</v>
      </c>
      <c r="AH5" s="81" t="str">
        <f>TEXT(WEEKDAY(DATE(AnoCalendário+1,5,31),1),"ddd")</f>
        <v>qua</v>
      </c>
      <c r="AI5" s="108" t="s">
        <v>41</v>
      </c>
      <c r="AJ5" s="108"/>
      <c r="AK5" s="108"/>
      <c r="AL5" s="108"/>
      <c r="AM5" s="108"/>
    </row>
    <row r="6" spans="1:39" ht="14.25" customHeight="1" thickTop="1" thickBot="1" x14ac:dyDescent="0.3">
      <c r="B6" s="82" t="s">
        <v>34</v>
      </c>
      <c r="C6" s="83" t="s">
        <v>36</v>
      </c>
      <c r="D6" s="84" t="s">
        <v>0</v>
      </c>
      <c r="E6" s="84" t="s">
        <v>1</v>
      </c>
      <c r="F6" s="84" t="s">
        <v>2</v>
      </c>
      <c r="G6" s="84" t="s">
        <v>3</v>
      </c>
      <c r="H6" s="84" t="s">
        <v>4</v>
      </c>
      <c r="I6" s="84" t="s">
        <v>5</v>
      </c>
      <c r="J6" s="84" t="s">
        <v>6</v>
      </c>
      <c r="K6" s="84" t="s">
        <v>7</v>
      </c>
      <c r="L6" s="84" t="s">
        <v>8</v>
      </c>
      <c r="M6" s="84" t="s">
        <v>9</v>
      </c>
      <c r="N6" s="84" t="s">
        <v>10</v>
      </c>
      <c r="O6" s="84" t="s">
        <v>11</v>
      </c>
      <c r="P6" s="84" t="s">
        <v>12</v>
      </c>
      <c r="Q6" s="84" t="s">
        <v>13</v>
      </c>
      <c r="R6" s="84" t="s">
        <v>14</v>
      </c>
      <c r="S6" s="84" t="s">
        <v>15</v>
      </c>
      <c r="T6" s="84" t="s">
        <v>16</v>
      </c>
      <c r="U6" s="84" t="s">
        <v>17</v>
      </c>
      <c r="V6" s="84" t="s">
        <v>18</v>
      </c>
      <c r="W6" s="84" t="s">
        <v>19</v>
      </c>
      <c r="X6" s="84" t="s">
        <v>20</v>
      </c>
      <c r="Y6" s="84" t="s">
        <v>21</v>
      </c>
      <c r="Z6" s="84" t="s">
        <v>22</v>
      </c>
      <c r="AA6" s="84" t="s">
        <v>23</v>
      </c>
      <c r="AB6" s="84" t="s">
        <v>24</v>
      </c>
      <c r="AC6" s="84" t="s">
        <v>25</v>
      </c>
      <c r="AD6" s="84" t="s">
        <v>26</v>
      </c>
      <c r="AE6" s="84" t="s">
        <v>27</v>
      </c>
      <c r="AF6" s="84" t="s">
        <v>28</v>
      </c>
      <c r="AG6" s="84" t="s">
        <v>29</v>
      </c>
      <c r="AH6" s="84" t="s">
        <v>30</v>
      </c>
      <c r="AI6" s="95" t="s">
        <v>37</v>
      </c>
      <c r="AJ6" s="86" t="s">
        <v>39</v>
      </c>
      <c r="AK6" s="87" t="s">
        <v>38</v>
      </c>
      <c r="AL6" s="88" t="s">
        <v>31</v>
      </c>
      <c r="AM6" s="91" t="s">
        <v>40</v>
      </c>
    </row>
    <row r="7" spans="1:39" ht="16.5" customHeight="1" thickTop="1" thickBot="1" x14ac:dyDescent="0.3">
      <c r="B7" s="96"/>
      <c r="C7" s="97" t="str">
        <f>IFERROR(VLOOKUP(PresençaemMaio[[#This Row],[ID do Aluno]],ListadeAlunos[],18,FALSE),"")</f>
        <v/>
      </c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9"/>
      <c r="AG7" s="84"/>
      <c r="AH7" s="84"/>
      <c r="AI7" s="100">
        <f>COUNTIF(PresençaemMaio[[#This Row],[1]:[31]],Código1)</f>
        <v>0</v>
      </c>
      <c r="AJ7" s="100">
        <f>COUNTIF(PresençaemMaio[[#This Row],[1]:[31]],Código2)</f>
        <v>0</v>
      </c>
      <c r="AK7" s="100">
        <f>COUNTIF(PresençaemMaio[[#This Row],[1]:[31]],Código3)</f>
        <v>0</v>
      </c>
      <c r="AL7" s="100">
        <f>COUNTIF(PresençaemMaio[[#This Row],[1]:[31]],Código4)</f>
        <v>0</v>
      </c>
      <c r="AM7" s="93">
        <f>SUM(PresençaemMaio[[#This Row],[E]:[U]])</f>
        <v>0</v>
      </c>
    </row>
    <row r="8" spans="1:39" ht="16.5" customHeight="1" thickTop="1" thickBot="1" x14ac:dyDescent="0.3">
      <c r="B8" s="96"/>
      <c r="C8" s="101" t="str">
        <f>IFERROR(VLOOKUP(PresençaemMaio[[#This Row],[ID do Aluno]],ListadeAlunos[],18,FALSE),"")</f>
        <v/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9"/>
      <c r="AG8" s="84"/>
      <c r="AH8" s="84"/>
      <c r="AI8" s="100">
        <f>COUNTIF(PresençaemMaio[[#This Row],[1]:[31]],Código1)</f>
        <v>0</v>
      </c>
      <c r="AJ8" s="100">
        <f>COUNTIF(PresençaemMaio[[#This Row],[1]:[31]],Código2)</f>
        <v>0</v>
      </c>
      <c r="AK8" s="100">
        <f>COUNTIF(PresençaemMaio[[#This Row],[1]:[31]],Código3)</f>
        <v>0</v>
      </c>
      <c r="AL8" s="100">
        <f>COUNTIF(PresençaemMaio[[#This Row],[1]:[31]],Código4)</f>
        <v>0</v>
      </c>
      <c r="AM8" s="93">
        <f>SUM(PresençaemMaio[[#This Row],[E]:[U]])</f>
        <v>0</v>
      </c>
    </row>
    <row r="9" spans="1:39" ht="16.5" customHeight="1" thickTop="1" thickBot="1" x14ac:dyDescent="0.3">
      <c r="B9" s="96"/>
      <c r="C9" s="101" t="str">
        <f>IFERROR(VLOOKUP(PresençaemMaio[[#This Row],[ID do Aluno]],ListadeAlunos[],18,FALSE),"")</f>
        <v/>
      </c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9"/>
      <c r="AG9" s="84"/>
      <c r="AH9" s="84"/>
      <c r="AI9" s="100">
        <f>COUNTIF(PresençaemMaio[[#This Row],[1]:[31]],Código1)</f>
        <v>0</v>
      </c>
      <c r="AJ9" s="100">
        <f>COUNTIF(PresençaemMaio[[#This Row],[1]:[31]],Código2)</f>
        <v>0</v>
      </c>
      <c r="AK9" s="100">
        <f>COUNTIF(PresençaemMaio[[#This Row],[1]:[31]],Código3)</f>
        <v>0</v>
      </c>
      <c r="AL9" s="100">
        <f>COUNTIF(PresençaemMaio[[#This Row],[1]:[31]],Código4)</f>
        <v>0</v>
      </c>
      <c r="AM9" s="93">
        <f>SUM(PresençaemMaio[[#This Row],[E]:[U]])</f>
        <v>0</v>
      </c>
    </row>
    <row r="10" spans="1:39" ht="16.5" customHeight="1" thickTop="1" thickBot="1" x14ac:dyDescent="0.3">
      <c r="B10" s="96"/>
      <c r="C10" s="101" t="str">
        <f>IFERROR(VLOOKUP(PresençaemMaio[[#This Row],[ID do Aluno]],ListadeAlunos[],18,FALSE),"")</f>
        <v/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9"/>
      <c r="AG10" s="84"/>
      <c r="AH10" s="84"/>
      <c r="AI10" s="100">
        <f>COUNTIF(PresençaemMaio[[#This Row],[1]:[31]],Código1)</f>
        <v>0</v>
      </c>
      <c r="AJ10" s="100">
        <f>COUNTIF(PresençaemMaio[[#This Row],[1]:[31]],Código2)</f>
        <v>0</v>
      </c>
      <c r="AK10" s="100">
        <f>COUNTIF(PresençaemMaio[[#This Row],[1]:[31]],Código3)</f>
        <v>0</v>
      </c>
      <c r="AL10" s="100">
        <f>COUNTIF(PresençaemMaio[[#This Row],[1]:[31]],Código4)</f>
        <v>0</v>
      </c>
      <c r="AM10" s="93">
        <f>SUM(PresençaemMaio[[#This Row],[E]:[U]])</f>
        <v>0</v>
      </c>
    </row>
    <row r="11" spans="1:39" ht="16.5" customHeight="1" thickTop="1" thickBot="1" x14ac:dyDescent="0.3">
      <c r="B11" s="96"/>
      <c r="C11" s="101" t="str">
        <f>IFERROR(VLOOKUP(PresençaemMaio[[#This Row],[ID do Aluno]],ListadeAlunos[],18,FALSE),"")</f>
        <v/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9"/>
      <c r="AG11" s="84"/>
      <c r="AH11" s="84"/>
      <c r="AI11" s="100">
        <f>COUNTIF(PresençaemMaio[[#This Row],[1]:[31]],Código1)</f>
        <v>0</v>
      </c>
      <c r="AJ11" s="100">
        <f>COUNTIF(PresençaemMaio[[#This Row],[1]:[31]],Código2)</f>
        <v>0</v>
      </c>
      <c r="AK11" s="100">
        <f>COUNTIF(PresençaemMaio[[#This Row],[1]:[31]],Código3)</f>
        <v>0</v>
      </c>
      <c r="AL11" s="100">
        <f>COUNTIF(PresençaemMaio[[#This Row],[1]:[31]],Código4)</f>
        <v>0</v>
      </c>
      <c r="AM11" s="93">
        <f>SUM(PresençaemMaio[[#This Row],[E]:[U]])</f>
        <v>0</v>
      </c>
    </row>
    <row r="12" spans="1:39" ht="16.5" customHeight="1" thickTop="1" thickBot="1" x14ac:dyDescent="0.3">
      <c r="B12" s="84"/>
      <c r="C12" s="89" t="s">
        <v>114</v>
      </c>
      <c r="D12" s="93">
        <f>COUNTIF(PresençaemMaio[1],"U")+COUNTIF(PresençaemMaio[1],"E")</f>
        <v>0</v>
      </c>
      <c r="E12" s="93">
        <f>COUNTIF(PresençaemMaio[2],"U")+COUNTIF(PresençaemMaio[2],"E")</f>
        <v>0</v>
      </c>
      <c r="F12" s="93">
        <f>COUNTIF(PresençaemMaio[3],"U")+COUNTIF(PresençaemMaio[3],"E")</f>
        <v>0</v>
      </c>
      <c r="G12" s="93">
        <f>COUNTIF(PresençaemMaio[4],"U")+COUNTIF(PresençaemMaio[4],"E")</f>
        <v>0</v>
      </c>
      <c r="H12" s="93">
        <f>COUNTIF(PresençaemMaio[5],"U")+COUNTIF(PresençaemMaio[5],"E")</f>
        <v>0</v>
      </c>
      <c r="I12" s="93">
        <f>COUNTIF(PresençaemMaio[6],"U")+COUNTIF(PresençaemMaio[6],"E")</f>
        <v>0</v>
      </c>
      <c r="J12" s="93">
        <f>COUNTIF(PresençaemMaio[7],"U")+COUNTIF(PresençaemMaio[7],"E")</f>
        <v>0</v>
      </c>
      <c r="K12" s="93">
        <f>COUNTIF(PresençaemMaio[8],"U")+COUNTIF(PresençaemMaio[8],"E")</f>
        <v>0</v>
      </c>
      <c r="L12" s="93">
        <f>COUNTIF(PresençaemMaio[9],"U")+COUNTIF(PresençaemMaio[9],"E")</f>
        <v>0</v>
      </c>
      <c r="M12" s="93">
        <f>COUNTIF(PresençaemMaio[10],"U")+COUNTIF(PresençaemMaio[10],"E")</f>
        <v>0</v>
      </c>
      <c r="N12" s="93">
        <f>COUNTIF(PresençaemMaio[11],"U")+COUNTIF(PresençaemMaio[11],"E")</f>
        <v>0</v>
      </c>
      <c r="O12" s="93">
        <f>COUNTIF(PresençaemMaio[12],"U")+COUNTIF(PresençaemMaio[12],"E")</f>
        <v>0</v>
      </c>
      <c r="P12" s="93">
        <f>COUNTIF(PresençaemMaio[13],"U")+COUNTIF(PresençaemMaio[13],"E")</f>
        <v>0</v>
      </c>
      <c r="Q12" s="93">
        <f>COUNTIF(PresençaemMaio[14],"U")+COUNTIF(PresençaemMaio[14],"E")</f>
        <v>0</v>
      </c>
      <c r="R12" s="93">
        <f>COUNTIF(PresençaemMaio[15],"U")+COUNTIF(PresençaemMaio[15],"E")</f>
        <v>0</v>
      </c>
      <c r="S12" s="93">
        <f>COUNTIF(PresençaemMaio[16],"U")+COUNTIF(PresençaemMaio[16],"E")</f>
        <v>0</v>
      </c>
      <c r="T12" s="93">
        <f>COUNTIF(PresençaemMaio[17],"U")+COUNTIF(PresençaemMaio[17],"E")</f>
        <v>0</v>
      </c>
      <c r="U12" s="93">
        <f>COUNTIF(PresençaemMaio[18],"U")+COUNTIF(PresençaemMaio[18],"E")</f>
        <v>0</v>
      </c>
      <c r="V12" s="93">
        <f>COUNTIF(PresençaemMaio[19],"U")+COUNTIF(PresençaemMaio[19],"E")</f>
        <v>0</v>
      </c>
      <c r="W12" s="93">
        <f>COUNTIF(PresençaemMaio[20],"U")+COUNTIF(PresençaemMaio[20],"E")</f>
        <v>0</v>
      </c>
      <c r="X12" s="93">
        <f>COUNTIF(PresençaemMaio[21],"U")+COUNTIF(PresençaemMaio[21],"E")</f>
        <v>0</v>
      </c>
      <c r="Y12" s="93">
        <f>COUNTIF(PresençaemMaio[22],"U")+COUNTIF(PresençaemMaio[22],"E")</f>
        <v>0</v>
      </c>
      <c r="Z12" s="93">
        <f>COUNTIF(PresençaemMaio[23],"U")+COUNTIF(PresençaemMaio[23],"E")</f>
        <v>0</v>
      </c>
      <c r="AA12" s="93">
        <f>COUNTIF(PresençaemMaio[24],"U")+COUNTIF(PresençaemMaio[24],"E")</f>
        <v>0</v>
      </c>
      <c r="AB12" s="93">
        <f>COUNTIF(PresençaemMaio[25],"U")+COUNTIF(PresençaemMaio[25],"E")</f>
        <v>0</v>
      </c>
      <c r="AC12" s="93">
        <f>COUNTIF(PresençaemMaio[26],"U")+COUNTIF(PresençaemMaio[26],"E")</f>
        <v>0</v>
      </c>
      <c r="AD12" s="93">
        <f>COUNTIF(PresençaemMaio[27],"U")+COUNTIF(PresençaemMaio[27],"E")</f>
        <v>0</v>
      </c>
      <c r="AE12" s="93">
        <f>COUNTIF(PresençaemMaio[28],"U")+COUNTIF(PresençaemMaio[28],"E")</f>
        <v>0</v>
      </c>
      <c r="AF12" s="93">
        <f>COUNTIF(PresençaemMaio[29],"U")+COUNTIF(PresençaemMaio[29],"E")</f>
        <v>0</v>
      </c>
      <c r="AG12" s="93"/>
      <c r="AH12" s="93"/>
      <c r="AI12" s="93">
        <f>SUBTOTAL(109,PresençaemMaio[T])</f>
        <v>0</v>
      </c>
      <c r="AJ12" s="93">
        <f>SUBTOTAL(109,PresençaemMaio[E])</f>
        <v>0</v>
      </c>
      <c r="AK12" s="93">
        <f>SUBTOTAL(109,PresençaemMaio[U])</f>
        <v>0</v>
      </c>
      <c r="AL12" s="93">
        <f>SUBTOTAL(109,PresençaemMaio[P])</f>
        <v>0</v>
      </c>
      <c r="AM12" s="93">
        <f>SUBTOTAL(109,PresençaemMaio[Dias de Ausência])</f>
        <v>0</v>
      </c>
    </row>
    <row r="13" spans="1:39" ht="16.5" customHeight="1" thickTop="1" x14ac:dyDescent="0.25"/>
    <row r="14" spans="1:39" ht="16.5" customHeight="1" x14ac:dyDescent="0.25"/>
    <row r="15" spans="1:39" ht="16.5" customHeight="1" x14ac:dyDescent="0.25"/>
    <row r="16" spans="1:39" ht="16.5" customHeight="1" x14ac:dyDescent="0.25"/>
    <row r="17" ht="16.5" customHeight="1" x14ac:dyDescent="0.25"/>
    <row r="18" ht="16.5" customHeight="1" x14ac:dyDescent="0.25"/>
    <row r="19" ht="16.5" customHeight="1" x14ac:dyDescent="0.25"/>
    <row r="20" ht="16.5" customHeight="1" x14ac:dyDescent="0.25"/>
    <row r="21" ht="16.5" customHeight="1" x14ac:dyDescent="0.25"/>
    <row r="22" ht="16.5" customHeight="1" x14ac:dyDescent="0.25"/>
    <row r="23" ht="16.5" customHeight="1" x14ac:dyDescent="0.25"/>
    <row r="24" ht="16.5" customHeight="1" x14ac:dyDescent="0.25"/>
    <row r="25" ht="16.5" customHeight="1" x14ac:dyDescent="0.25"/>
    <row r="26" ht="16.5" customHeight="1" x14ac:dyDescent="0.25"/>
    <row r="27" ht="16.5" customHeight="1" x14ac:dyDescent="0.25"/>
    <row r="28" ht="16.5" customHeight="1" x14ac:dyDescent="0.25"/>
    <row r="29" ht="16.5" customHeight="1" x14ac:dyDescent="0.25"/>
    <row r="30" ht="16.5" customHeight="1" x14ac:dyDescent="0.25"/>
    <row r="31" ht="16.5" customHeight="1" x14ac:dyDescent="0.25"/>
    <row r="32" ht="16.5" customHeight="1" x14ac:dyDescent="0.25"/>
    <row r="33" ht="16.5" customHeight="1" x14ac:dyDescent="0.25"/>
    <row r="34" ht="16.5" customHeight="1" x14ac:dyDescent="0.25"/>
    <row r="35" ht="16.5" customHeight="1" x14ac:dyDescent="0.25"/>
    <row r="36" ht="16.5" customHeight="1" x14ac:dyDescent="0.25"/>
    <row r="37" ht="16.5" customHeight="1" x14ac:dyDescent="0.25"/>
    <row r="38" ht="16.5" customHeight="1" x14ac:dyDescent="0.25"/>
    <row r="39" ht="16.5" customHeight="1" x14ac:dyDescent="0.25"/>
    <row r="40" ht="16.5" customHeight="1" x14ac:dyDescent="0.25"/>
    <row r="41" ht="16.5" customHeight="1" x14ac:dyDescent="0.25"/>
    <row r="42" ht="16.5" customHeight="1" x14ac:dyDescent="0.25"/>
    <row r="43" ht="16.5" customHeight="1" x14ac:dyDescent="0.25"/>
    <row r="44" ht="16.5" customHeight="1" x14ac:dyDescent="0.25"/>
    <row r="45" ht="16.5" customHeight="1" x14ac:dyDescent="0.25"/>
    <row r="46" ht="16.5" customHeight="1" x14ac:dyDescent="0.25"/>
    <row r="47" ht="16.5" customHeight="1" x14ac:dyDescent="0.25"/>
    <row r="48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2" ht="16.5" customHeight="1" x14ac:dyDescent="0.25"/>
    <row r="63" ht="16.5" customHeight="1" x14ac:dyDescent="0.25"/>
    <row r="64" ht="16.5" customHeight="1" x14ac:dyDescent="0.25"/>
    <row r="65" ht="16.5" customHeight="1" x14ac:dyDescent="0.25"/>
    <row r="66" ht="16.5" customHeight="1" x14ac:dyDescent="0.25"/>
    <row r="67" ht="16.5" customHeight="1" x14ac:dyDescent="0.25"/>
    <row r="68" ht="16.5" customHeight="1" x14ac:dyDescent="0.25"/>
    <row r="69" ht="16.5" customHeight="1" x14ac:dyDescent="0.25"/>
    <row r="70" ht="16.5" customHeight="1" x14ac:dyDescent="0.25"/>
    <row r="71" ht="16.5" customHeight="1" x14ac:dyDescent="0.25"/>
    <row r="72" ht="16.5" customHeight="1" x14ac:dyDescent="0.25"/>
    <row r="73" ht="16.5" customHeight="1" x14ac:dyDescent="0.25"/>
    <row r="74" ht="16.5" customHeight="1" x14ac:dyDescent="0.25"/>
    <row r="75" ht="16.5" customHeight="1" x14ac:dyDescent="0.25"/>
    <row r="76" ht="16.5" customHeight="1" x14ac:dyDescent="0.25"/>
    <row r="77" ht="16.5" customHeight="1" x14ac:dyDescent="0.25"/>
    <row r="78" ht="16.5" customHeight="1" x14ac:dyDescent="0.25"/>
    <row r="79" ht="16.5" customHeight="1" x14ac:dyDescent="0.25"/>
    <row r="80" ht="16.5" customHeight="1" x14ac:dyDescent="0.25"/>
    <row r="81" ht="16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  <row r="87" ht="16.5" customHeight="1" x14ac:dyDescent="0.25"/>
    <row r="88" ht="16.5" customHeight="1" x14ac:dyDescent="0.25"/>
    <row r="89" ht="16.5" customHeight="1" x14ac:dyDescent="0.25"/>
    <row r="90" ht="16.5" customHeight="1" x14ac:dyDescent="0.25"/>
    <row r="91" ht="16.5" customHeight="1" x14ac:dyDescent="0.25"/>
    <row r="92" ht="16.5" customHeight="1" x14ac:dyDescent="0.25"/>
    <row r="93" ht="16.5" customHeight="1" x14ac:dyDescent="0.25"/>
    <row r="94" ht="16.5" customHeight="1" x14ac:dyDescent="0.25"/>
    <row r="95" ht="16.5" customHeight="1" x14ac:dyDescent="0.25"/>
    <row r="96" ht="16.5" customHeight="1" x14ac:dyDescent="0.25"/>
    <row r="97" ht="16.5" customHeight="1" x14ac:dyDescent="0.25"/>
    <row r="98" ht="16.5" customHeight="1" x14ac:dyDescent="0.25"/>
    <row r="99" ht="16.5" customHeight="1" x14ac:dyDescent="0.25"/>
    <row r="100" ht="16.5" customHeight="1" x14ac:dyDescent="0.25"/>
    <row r="101" ht="16.5" customHeight="1" x14ac:dyDescent="0.25"/>
    <row r="102" ht="16.5" customHeight="1" x14ac:dyDescent="0.25"/>
    <row r="103" ht="16.5" customHeight="1" x14ac:dyDescent="0.25"/>
    <row r="104" ht="16.5" customHeight="1" x14ac:dyDescent="0.25"/>
    <row r="105" ht="16.5" customHeight="1" x14ac:dyDescent="0.25"/>
    <row r="106" ht="16.5" customHeight="1" x14ac:dyDescent="0.25"/>
    <row r="107" ht="16.5" customHeight="1" x14ac:dyDescent="0.25"/>
    <row r="108" ht="16.5" customHeight="1" x14ac:dyDescent="0.25"/>
    <row r="109" ht="16.5" customHeight="1" x14ac:dyDescent="0.25"/>
    <row r="110" ht="16.5" customHeight="1" x14ac:dyDescent="0.25"/>
    <row r="111" ht="16.5" customHeight="1" x14ac:dyDescent="0.25"/>
    <row r="112" ht="16.5" customHeight="1" x14ac:dyDescent="0.25"/>
    <row r="113" ht="16.5" customHeight="1" x14ac:dyDescent="0.25"/>
    <row r="114" ht="16.5" customHeight="1" x14ac:dyDescent="0.25"/>
    <row r="115" ht="16.5" customHeight="1" x14ac:dyDescent="0.25"/>
    <row r="116" ht="16.5" customHeight="1" x14ac:dyDescent="0.25"/>
    <row r="117" ht="16.5" customHeight="1" x14ac:dyDescent="0.25"/>
    <row r="118" ht="16.5" customHeight="1" x14ac:dyDescent="0.25"/>
    <row r="119" ht="16.5" customHeight="1" x14ac:dyDescent="0.25"/>
    <row r="120" ht="16.5" customHeight="1" x14ac:dyDescent="0.25"/>
    <row r="121" ht="16.5" customHeight="1" x14ac:dyDescent="0.25"/>
    <row r="122" ht="16.5" customHeight="1" x14ac:dyDescent="0.25"/>
    <row r="123" ht="16.5" customHeight="1" x14ac:dyDescent="0.25"/>
    <row r="124" ht="16.5" customHeight="1" x14ac:dyDescent="0.25"/>
    <row r="125" ht="16.5" customHeight="1" x14ac:dyDescent="0.25"/>
    <row r="126" ht="16.5" customHeight="1" x14ac:dyDescent="0.25"/>
    <row r="127" ht="16.5" customHeight="1" x14ac:dyDescent="0.25"/>
    <row r="128" ht="16.5" customHeight="1" x14ac:dyDescent="0.25"/>
    <row r="129" ht="16.5" customHeight="1" x14ac:dyDescent="0.25"/>
    <row r="130" ht="16.5" customHeight="1" x14ac:dyDescent="0.25"/>
    <row r="131" ht="16.5" customHeight="1" x14ac:dyDescent="0.25"/>
    <row r="132" ht="16.5" customHeight="1" x14ac:dyDescent="0.25"/>
    <row r="133" ht="16.5" customHeight="1" x14ac:dyDescent="0.25"/>
    <row r="134" ht="16.5" customHeight="1" x14ac:dyDescent="0.25"/>
    <row r="135" ht="16.5" customHeight="1" x14ac:dyDescent="0.25"/>
    <row r="136" ht="16.5" customHeight="1" x14ac:dyDescent="0.25"/>
    <row r="137" ht="16.5" customHeight="1" x14ac:dyDescent="0.25"/>
    <row r="138" ht="16.5" customHeight="1" x14ac:dyDescent="0.25"/>
    <row r="139" ht="16.5" customHeight="1" x14ac:dyDescent="0.25"/>
    <row r="140" ht="16.5" customHeight="1" x14ac:dyDescent="0.25"/>
    <row r="141" ht="16.5" customHeight="1" x14ac:dyDescent="0.25"/>
    <row r="142" ht="16.5" customHeight="1" x14ac:dyDescent="0.25"/>
    <row r="143" ht="16.5" customHeight="1" x14ac:dyDescent="0.25"/>
    <row r="144" ht="16.5" customHeight="1" x14ac:dyDescent="0.25"/>
    <row r="145" ht="16.5" customHeight="1" x14ac:dyDescent="0.25"/>
    <row r="146" ht="16.5" customHeight="1" x14ac:dyDescent="0.25"/>
    <row r="147" ht="16.5" customHeight="1" x14ac:dyDescent="0.25"/>
    <row r="148" ht="16.5" customHeight="1" x14ac:dyDescent="0.25"/>
    <row r="149" ht="16.5" customHeight="1" x14ac:dyDescent="0.25"/>
    <row r="150" ht="16.5" customHeight="1" x14ac:dyDescent="0.25"/>
    <row r="151" ht="16.5" customHeight="1" x14ac:dyDescent="0.25"/>
    <row r="152" ht="16.5" customHeight="1" x14ac:dyDescent="0.25"/>
    <row r="153" ht="16.5" customHeight="1" x14ac:dyDescent="0.25"/>
    <row r="154" ht="16.5" customHeight="1" x14ac:dyDescent="0.25"/>
    <row r="155" ht="16.5" customHeight="1" x14ac:dyDescent="0.25"/>
    <row r="156" ht="16.5" customHeight="1" x14ac:dyDescent="0.25"/>
    <row r="157" ht="16.5" customHeight="1" x14ac:dyDescent="0.25"/>
    <row r="158" ht="16.5" customHeight="1" x14ac:dyDescent="0.25"/>
    <row r="159" ht="16.5" customHeight="1" x14ac:dyDescent="0.25"/>
    <row r="160" ht="16.5" customHeight="1" x14ac:dyDescent="0.25"/>
    <row r="161" ht="16.5" customHeight="1" x14ac:dyDescent="0.25"/>
    <row r="162" ht="16.5" customHeight="1" x14ac:dyDescent="0.25"/>
    <row r="163" ht="16.5" customHeight="1" x14ac:dyDescent="0.25"/>
    <row r="164" ht="16.5" customHeight="1" x14ac:dyDescent="0.25"/>
    <row r="165" ht="16.5" customHeight="1" x14ac:dyDescent="0.25"/>
    <row r="166" ht="16.5" customHeight="1" x14ac:dyDescent="0.25"/>
    <row r="167" ht="16.5" customHeight="1" x14ac:dyDescent="0.25"/>
    <row r="168" ht="16.5" customHeight="1" x14ac:dyDescent="0.25"/>
    <row r="169" ht="16.5" customHeight="1" x14ac:dyDescent="0.25"/>
    <row r="170" ht="16.5" customHeight="1" x14ac:dyDescent="0.25"/>
    <row r="171" ht="16.5" customHeight="1" x14ac:dyDescent="0.25"/>
    <row r="172" ht="16.5" customHeight="1" x14ac:dyDescent="0.25"/>
    <row r="173" ht="16.5" customHeight="1" x14ac:dyDescent="0.25"/>
    <row r="174" ht="16.5" customHeight="1" x14ac:dyDescent="0.25"/>
    <row r="175" ht="16.5" customHeight="1" x14ac:dyDescent="0.25"/>
    <row r="176" ht="16.5" customHeight="1" x14ac:dyDescent="0.25"/>
    <row r="177" ht="16.5" customHeight="1" x14ac:dyDescent="0.25"/>
    <row r="178" ht="16.5" customHeight="1" x14ac:dyDescent="0.25"/>
    <row r="179" ht="16.5" customHeight="1" x14ac:dyDescent="0.25"/>
    <row r="180" ht="16.5" customHeight="1" x14ac:dyDescent="0.25"/>
    <row r="181" ht="16.5" customHeight="1" x14ac:dyDescent="0.25"/>
    <row r="182" ht="16.5" customHeight="1" x14ac:dyDescent="0.25"/>
    <row r="183" ht="16.5" customHeight="1" x14ac:dyDescent="0.25"/>
    <row r="184" ht="16.5" customHeight="1" x14ac:dyDescent="0.25"/>
    <row r="185" ht="16.5" customHeight="1" x14ac:dyDescent="0.25"/>
    <row r="186" ht="16.5" customHeight="1" x14ac:dyDescent="0.25"/>
    <row r="187" ht="16.5" customHeight="1" x14ac:dyDescent="0.25"/>
    <row r="188" ht="16.5" customHeight="1" x14ac:dyDescent="0.25"/>
    <row r="189" ht="16.5" customHeight="1" x14ac:dyDescent="0.25"/>
    <row r="190" ht="16.5" customHeight="1" x14ac:dyDescent="0.25"/>
    <row r="191" ht="16.5" customHeight="1" x14ac:dyDescent="0.25"/>
    <row r="192" ht="16.5" customHeight="1" x14ac:dyDescent="0.25"/>
    <row r="193" ht="16.5" customHeight="1" x14ac:dyDescent="0.25"/>
    <row r="194" ht="16.5" customHeight="1" x14ac:dyDescent="0.25"/>
    <row r="195" ht="16.5" customHeight="1" x14ac:dyDescent="0.25"/>
    <row r="196" ht="16.5" customHeight="1" x14ac:dyDescent="0.25"/>
    <row r="197" ht="16.5" customHeight="1" x14ac:dyDescent="0.25"/>
    <row r="198" ht="16.5" customHeight="1" x14ac:dyDescent="0.25"/>
    <row r="199" ht="16.5" customHeight="1" x14ac:dyDescent="0.25"/>
    <row r="200" ht="16.5" customHeight="1" x14ac:dyDescent="0.25"/>
    <row r="201" ht="16.5" customHeight="1" x14ac:dyDescent="0.25"/>
    <row r="202" ht="16.5" customHeight="1" x14ac:dyDescent="0.25"/>
    <row r="203" ht="16.5" customHeight="1" x14ac:dyDescent="0.25"/>
    <row r="204" ht="16.5" customHeight="1" x14ac:dyDescent="0.25"/>
    <row r="205" ht="16.5" customHeight="1" x14ac:dyDescent="0.25"/>
    <row r="206" ht="16.5" customHeight="1" x14ac:dyDescent="0.25"/>
    <row r="207" ht="16.5" customHeight="1" x14ac:dyDescent="0.25"/>
    <row r="208" ht="16.5" customHeight="1" x14ac:dyDescent="0.25"/>
    <row r="209" ht="16.5" customHeight="1" x14ac:dyDescent="0.25"/>
    <row r="210" ht="16.5" customHeight="1" x14ac:dyDescent="0.25"/>
    <row r="211" ht="16.5" customHeight="1" x14ac:dyDescent="0.25"/>
    <row r="212" ht="16.5" customHeight="1" x14ac:dyDescent="0.25"/>
    <row r="213" ht="16.5" customHeight="1" x14ac:dyDescent="0.25"/>
    <row r="214" ht="16.5" customHeight="1" x14ac:dyDescent="0.25"/>
    <row r="215" ht="16.5" customHeight="1" x14ac:dyDescent="0.25"/>
    <row r="216" ht="16.5" customHeight="1" x14ac:dyDescent="0.25"/>
    <row r="217" ht="16.5" customHeight="1" x14ac:dyDescent="0.25"/>
    <row r="218" ht="16.5" customHeight="1" x14ac:dyDescent="0.25"/>
    <row r="219" ht="16.5" customHeight="1" x14ac:dyDescent="0.25"/>
    <row r="220" ht="16.5" customHeight="1" x14ac:dyDescent="0.25"/>
    <row r="221" ht="16.5" customHeight="1" x14ac:dyDescent="0.25"/>
    <row r="222" ht="16.5" customHeight="1" x14ac:dyDescent="0.25"/>
    <row r="223" ht="16.5" customHeight="1" x14ac:dyDescent="0.25"/>
    <row r="224" ht="16.5" customHeight="1" x14ac:dyDescent="0.25"/>
    <row r="225" ht="16.5" customHeight="1" x14ac:dyDescent="0.25"/>
    <row r="226" ht="16.5" customHeight="1" x14ac:dyDescent="0.25"/>
    <row r="227" ht="16.5" customHeight="1" x14ac:dyDescent="0.25"/>
    <row r="228" ht="16.5" customHeight="1" x14ac:dyDescent="0.25"/>
    <row r="229" ht="16.5" customHeight="1" x14ac:dyDescent="0.25"/>
    <row r="230" ht="16.5" customHeight="1" x14ac:dyDescent="0.25"/>
    <row r="231" ht="16.5" customHeight="1" x14ac:dyDescent="0.25"/>
    <row r="232" ht="16.5" customHeight="1" x14ac:dyDescent="0.25"/>
    <row r="233" ht="16.5" customHeight="1" x14ac:dyDescent="0.25"/>
    <row r="234" ht="16.5" customHeight="1" x14ac:dyDescent="0.25"/>
    <row r="235" ht="16.5" customHeight="1" x14ac:dyDescent="0.25"/>
    <row r="236" ht="16.5" customHeight="1" x14ac:dyDescent="0.25"/>
    <row r="237" ht="16.5" customHeight="1" x14ac:dyDescent="0.25"/>
    <row r="238" ht="16.5" customHeight="1" x14ac:dyDescent="0.25"/>
    <row r="239" ht="16.5" customHeight="1" x14ac:dyDescent="0.25"/>
    <row r="240" ht="16.5" customHeight="1" x14ac:dyDescent="0.25"/>
    <row r="241" ht="16.5" customHeight="1" x14ac:dyDescent="0.25"/>
    <row r="242" ht="16.5" customHeight="1" x14ac:dyDescent="0.25"/>
    <row r="243" ht="16.5" customHeight="1" x14ac:dyDescent="0.25"/>
    <row r="244" ht="16.5" customHeight="1" x14ac:dyDescent="0.25"/>
    <row r="245" ht="16.5" customHeight="1" x14ac:dyDescent="0.25"/>
    <row r="246" ht="16.5" customHeight="1" x14ac:dyDescent="0.25"/>
    <row r="247" ht="16.5" customHeight="1" x14ac:dyDescent="0.25"/>
    <row r="248" ht="16.5" customHeight="1" x14ac:dyDescent="0.25"/>
    <row r="249" ht="16.5" customHeight="1" x14ac:dyDescent="0.25"/>
    <row r="250" ht="16.5" customHeight="1" x14ac:dyDescent="0.25"/>
    <row r="251" ht="16.5" customHeight="1" x14ac:dyDescent="0.25"/>
    <row r="252" ht="16.5" customHeight="1" x14ac:dyDescent="0.25"/>
    <row r="253" ht="16.5" customHeight="1" x14ac:dyDescent="0.25"/>
    <row r="254" ht="16.5" customHeight="1" x14ac:dyDescent="0.25"/>
    <row r="255" ht="16.5" customHeight="1" x14ac:dyDescent="0.25"/>
    <row r="256" ht="16.5" customHeight="1" x14ac:dyDescent="0.25"/>
    <row r="257" ht="16.5" customHeight="1" x14ac:dyDescent="0.25"/>
    <row r="258" ht="16.5" customHeight="1" x14ac:dyDescent="0.25"/>
    <row r="259" ht="16.5" customHeight="1" x14ac:dyDescent="0.25"/>
    <row r="260" ht="16.5" customHeight="1" x14ac:dyDescent="0.25"/>
    <row r="261" ht="16.5" customHeight="1" x14ac:dyDescent="0.25"/>
    <row r="262" ht="16.5" customHeight="1" x14ac:dyDescent="0.25"/>
    <row r="263" ht="16.5" customHeight="1" x14ac:dyDescent="0.25"/>
    <row r="264" ht="16.5" customHeight="1" x14ac:dyDescent="0.25"/>
  </sheetData>
  <sheetProtection formatCells="0" formatColumns="0" formatRows="0" insertColumns="0" insertRows="0" insertHyperlinks="0" deleteColumns="0" deleteRows="0" sort="0" autoFilter="0" pivotTables="0"/>
  <mergeCells count="1">
    <mergeCell ref="AI5:AM5"/>
  </mergeCells>
  <conditionalFormatting sqref="D7:AF11">
    <cfRule type="expression" dxfId="20" priority="2" stopIfTrue="1">
      <formula>D7=Código2</formula>
    </cfRule>
    <cfRule type="expression" dxfId="19" priority="3" stopIfTrue="1">
      <formula>D7=Código5</formula>
    </cfRule>
    <cfRule type="expression" dxfId="18" priority="4" stopIfTrue="1">
      <formula>D7=Código4</formula>
    </cfRule>
    <cfRule type="expression" dxfId="17" priority="5" stopIfTrue="1">
      <formula>D7=Código3</formula>
    </cfRule>
    <cfRule type="expression" dxfId="16" priority="6" stopIfTrue="1">
      <formula>D7=Código1</formula>
    </cfRule>
  </conditionalFormatting>
  <conditionalFormatting sqref="AM7:AM11">
    <cfRule type="dataBar" priority="1">
      <dataBar>
        <cfvo type="min"/>
        <cfvo type="num" val="DATEDIF(DATE(AnoCalendário,2,1),DATE(AnoCalendário,3,1),&quot;d&quot;)"/>
        <color theme="4"/>
      </dataBar>
      <extLst>
        <ext xmlns:x14="http://schemas.microsoft.com/office/spreadsheetml/2009/9/main" uri="{B025F937-C7B1-47D3-B67F-A62EFF666E3E}">
          <x14:id>{075C44B9-B707-434A-A9F0-95252D34B3EF}</x14:id>
        </ext>
      </extLst>
    </cfRule>
  </conditionalFormatting>
  <dataValidations count="1">
    <dataValidation type="list" errorStyle="warning" allowBlank="1" showInputMessage="1" showErrorMessage="1" errorTitle="Ops!" error="A ID de Aluno que você inseriu não está na planilha Lista de Alunos. Você pode clicar em Sim para usar a ID de Aluno inserida, mas ela não estará disponível na planilha Relatório de Presença dos Alunos." sqref="B7:B11" xr:uid="{00000000-0002-0000-0C00-000000000000}">
      <formula1>IDAluno</formula1>
    </dataValidation>
  </dataValidations>
  <printOptions horizontalCentered="1"/>
  <pageMargins left="0.5" right="0.5" top="0.75" bottom="0.75" header="0.3" footer="0.3"/>
  <pageSetup paperSize="9" scale="59" fitToHeight="0" orientation="landscape" verticalDpi="1200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75C44B9-B707-434A-A9F0-95252D34B3EF}">
            <x14:dataBar minLength="0" maxLength="100" border="1" negativeBarBorderColorSameAsPositive="0">
              <x14:cfvo type="autoMin"/>
              <x14:cfvo type="num">
                <xm:f>DATEDIF(DATE(AnoCalendário,2,1),DATE(AnoCalendário,3,1),"d")</xm:f>
              </x14:cfvo>
              <x14:borderColor theme="4"/>
              <x14:negativeFillColor rgb="FFFF0000"/>
              <x14:negativeBorderColor rgb="FFFF0000"/>
              <x14:axisColor rgb="FF000000"/>
            </x14:dataBar>
          </x14:cfRule>
          <xm:sqref>AM7:AM11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0.59999389629810485"/>
    <pageSetUpPr fitToPage="1"/>
  </sheetPr>
  <dimension ref="A1:AM264"/>
  <sheetViews>
    <sheetView showGridLines="0" zoomScaleNormal="100" workbookViewId="0">
      <pane xSplit="3" ySplit="6" topLeftCell="P7" activePane="bottomRight" state="frozen"/>
      <selection activeCell="Y16" sqref="Y16"/>
      <selection pane="topRight" activeCell="Y16" sqref="Y16"/>
      <selection pane="bottomLeft" activeCell="Y16" sqref="Y16"/>
      <selection pane="bottomRight" activeCell="L1" sqref="L1"/>
    </sheetView>
  </sheetViews>
  <sheetFormatPr defaultColWidth="9.109375" defaultRowHeight="15" customHeight="1" x14ac:dyDescent="0.25"/>
  <cols>
    <col min="1" max="1" width="2.6640625" style="8" customWidth="1"/>
    <col min="2" max="2" width="11.88671875" style="8" bestFit="1" customWidth="1"/>
    <col min="3" max="3" width="28.88671875" style="9" customWidth="1"/>
    <col min="4" max="34" width="5" style="7" customWidth="1"/>
    <col min="35" max="35" width="4.6640625" style="6" customWidth="1"/>
    <col min="36" max="36" width="4.6640625" style="7" customWidth="1"/>
    <col min="37" max="38" width="4.6640625" style="8" customWidth="1"/>
    <col min="39" max="39" width="19.5546875" style="8" bestFit="1" customWidth="1"/>
    <col min="40" max="16384" width="9.109375" style="8"/>
  </cols>
  <sheetData>
    <row r="1" spans="1:39" s="1" customFormat="1" ht="42" customHeight="1" x14ac:dyDescent="0.25">
      <c r="A1" s="21" t="s">
        <v>88</v>
      </c>
      <c r="B1" s="22"/>
      <c r="C1" s="22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2"/>
      <c r="AD1" s="22"/>
      <c r="AE1" s="22"/>
      <c r="AF1" s="22"/>
      <c r="AG1" s="24"/>
      <c r="AH1" s="22"/>
      <c r="AI1" s="22"/>
      <c r="AJ1" s="25"/>
      <c r="AK1" s="22"/>
      <c r="AL1" s="34" t="s">
        <v>72</v>
      </c>
      <c r="AM1" s="35">
        <f>AnoCalendário</f>
        <v>2016</v>
      </c>
    </row>
    <row r="2" spans="1:39" customFormat="1" ht="13.2" x14ac:dyDescent="0.25"/>
    <row r="3" spans="1:39" s="17" customFormat="1" ht="12.75" customHeight="1" x14ac:dyDescent="0.25">
      <c r="C3" s="27" t="str">
        <f>TextodaChavedeCor</f>
        <v xml:space="preserve">CHAVE COLORIDA </v>
      </c>
      <c r="D3" s="28" t="str">
        <f>Código1</f>
        <v>T</v>
      </c>
      <c r="E3" s="41" t="str">
        <f>TextodeCódigo1</f>
        <v>Atrasado</v>
      </c>
      <c r="F3" s="33"/>
      <c r="H3" s="29" t="str">
        <f>Código2</f>
        <v>E</v>
      </c>
      <c r="I3" s="33" t="str">
        <f>TextodeCódigo2</f>
        <v>Dispensado</v>
      </c>
      <c r="L3" s="30" t="str">
        <f>Código3</f>
        <v>F</v>
      </c>
      <c r="M3" s="33" t="str">
        <f>TextodeCódigo3</f>
        <v>faltou a aula</v>
      </c>
      <c r="P3" s="31" t="str">
        <f>Código4</f>
        <v>P</v>
      </c>
      <c r="Q3" s="33" t="str">
        <f>TextodeCódigo4</f>
        <v>Presente</v>
      </c>
      <c r="T3" s="32" t="str">
        <f>Código5</f>
        <v>N</v>
      </c>
      <c r="U3" s="33" t="str">
        <f>TextodeCódigo5</f>
        <v>Sem Aula</v>
      </c>
      <c r="W3"/>
      <c r="X3"/>
      <c r="Y3"/>
      <c r="AD3" s="16"/>
      <c r="AE3" s="16"/>
      <c r="AH3" s="18"/>
      <c r="AI3" s="19"/>
      <c r="AK3" s="20"/>
    </row>
    <row r="4" spans="1:39" customFormat="1" ht="16.5" customHeight="1" x14ac:dyDescent="0.25"/>
    <row r="5" spans="1:39" s="2" customFormat="1" ht="18" customHeight="1" thickBot="1" x14ac:dyDescent="0.35">
      <c r="B5" s="79">
        <f>DATE(AnoCalendário+1,6,1)</f>
        <v>42887</v>
      </c>
      <c r="C5" s="80"/>
      <c r="D5" s="81" t="str">
        <f>TEXT(WEEKDAY(DATE(AnoCalendário+1,6,1),1),"ddd")</f>
        <v>qui</v>
      </c>
      <c r="E5" s="81" t="str">
        <f>TEXT(WEEKDAY(DATE(AnoCalendário+1,6,2),1),"ddd")</f>
        <v>sex</v>
      </c>
      <c r="F5" s="81" t="str">
        <f>TEXT(WEEKDAY(DATE(AnoCalendário+1,6,3),1),"ddd")</f>
        <v>sáb</v>
      </c>
      <c r="G5" s="81" t="str">
        <f>TEXT(WEEKDAY(DATE(AnoCalendário+1,6,4),1),"ddd")</f>
        <v>dom</v>
      </c>
      <c r="H5" s="81" t="str">
        <f>TEXT(WEEKDAY(DATE(AnoCalendário+1,6,5),1),"ddd")</f>
        <v>seg</v>
      </c>
      <c r="I5" s="81" t="str">
        <f>TEXT(WEEKDAY(DATE(AnoCalendário+1,6,6),1),"ddd")</f>
        <v>ter</v>
      </c>
      <c r="J5" s="81" t="str">
        <f>TEXT(WEEKDAY(DATE(AnoCalendário+1,6,7),1),"ddd")</f>
        <v>qua</v>
      </c>
      <c r="K5" s="81" t="str">
        <f>TEXT(WEEKDAY(DATE(AnoCalendário+1,6,8),1),"ddd")</f>
        <v>qui</v>
      </c>
      <c r="L5" s="81" t="str">
        <f>TEXT(WEEKDAY(DATE(AnoCalendário+1,6,9),1),"ddd")</f>
        <v>sex</v>
      </c>
      <c r="M5" s="81" t="str">
        <f>TEXT(WEEKDAY(DATE(AnoCalendário+1,6,10),1),"ddd")</f>
        <v>sáb</v>
      </c>
      <c r="N5" s="81" t="str">
        <f>TEXT(WEEKDAY(DATE(AnoCalendário+1,6,11),1),"ddd")</f>
        <v>dom</v>
      </c>
      <c r="O5" s="81" t="str">
        <f>TEXT(WEEKDAY(DATE(AnoCalendário+1,6,12),1),"ddd")</f>
        <v>seg</v>
      </c>
      <c r="P5" s="81" t="str">
        <f>TEXT(WEEKDAY(DATE(AnoCalendário+1,6,13),1),"ddd")</f>
        <v>ter</v>
      </c>
      <c r="Q5" s="81" t="str">
        <f>TEXT(WEEKDAY(DATE(AnoCalendário+1,6,14),1),"ddd")</f>
        <v>qua</v>
      </c>
      <c r="R5" s="81" t="str">
        <f>TEXT(WEEKDAY(DATE(AnoCalendário+1,6,15),1),"ddd")</f>
        <v>qui</v>
      </c>
      <c r="S5" s="81" t="str">
        <f>TEXT(WEEKDAY(DATE(AnoCalendário+1,6,16),1),"ddd")</f>
        <v>sex</v>
      </c>
      <c r="T5" s="81" t="str">
        <f>TEXT(WEEKDAY(DATE(AnoCalendário+1,6,17),1),"ddd")</f>
        <v>sáb</v>
      </c>
      <c r="U5" s="81" t="str">
        <f>TEXT(WEEKDAY(DATE(AnoCalendário+1,6,18),1),"ddd")</f>
        <v>dom</v>
      </c>
      <c r="V5" s="81" t="str">
        <f>TEXT(WEEKDAY(DATE(AnoCalendário+1,6,19),1),"ddd")</f>
        <v>seg</v>
      </c>
      <c r="W5" s="81" t="str">
        <f>TEXT(WEEKDAY(DATE(AnoCalendário+1,6,20),1),"ddd")</f>
        <v>ter</v>
      </c>
      <c r="X5" s="81" t="str">
        <f>TEXT(WEEKDAY(DATE(AnoCalendário+1,6,21),1),"ddd")</f>
        <v>qua</v>
      </c>
      <c r="Y5" s="81" t="str">
        <f>TEXT(WEEKDAY(DATE(AnoCalendário+1,6,22),1),"ddd")</f>
        <v>qui</v>
      </c>
      <c r="Z5" s="81" t="str">
        <f>TEXT(WEEKDAY(DATE(AnoCalendário+1,6,23),1),"ddd")</f>
        <v>sex</v>
      </c>
      <c r="AA5" s="81" t="str">
        <f>TEXT(WEEKDAY(DATE(AnoCalendário+1,6,24),1),"ddd")</f>
        <v>sáb</v>
      </c>
      <c r="AB5" s="81" t="str">
        <f>TEXT(WEEKDAY(DATE(AnoCalendário+1,6,25),1),"ddd")</f>
        <v>dom</v>
      </c>
      <c r="AC5" s="81" t="str">
        <f>TEXT(WEEKDAY(DATE(AnoCalendário+1,6,26),1),"ddd")</f>
        <v>seg</v>
      </c>
      <c r="AD5" s="81" t="str">
        <f>TEXT(WEEKDAY(DATE(AnoCalendário+1,6,27),1),"ddd")</f>
        <v>ter</v>
      </c>
      <c r="AE5" s="81" t="str">
        <f>TEXT(WEEKDAY(DATE(AnoCalendário+1,6,28),1),"ddd")</f>
        <v>qua</v>
      </c>
      <c r="AF5" s="81" t="str">
        <f>TEXT(WEEKDAY(DATE(AnoCalendário+1,6,29),1),"ddd")</f>
        <v>qui</v>
      </c>
      <c r="AG5" s="81" t="str">
        <f>TEXT(WEEKDAY(DATE(AnoCalendário+1,6,30),1),"ddd")</f>
        <v>sex</v>
      </c>
      <c r="AH5" s="81"/>
      <c r="AI5" s="108" t="s">
        <v>41</v>
      </c>
      <c r="AJ5" s="108"/>
      <c r="AK5" s="108"/>
      <c r="AL5" s="108"/>
      <c r="AM5" s="108"/>
    </row>
    <row r="6" spans="1:39" ht="14.25" customHeight="1" thickTop="1" thickBot="1" x14ac:dyDescent="0.3">
      <c r="B6" s="82" t="s">
        <v>34</v>
      </c>
      <c r="C6" s="83" t="s">
        <v>36</v>
      </c>
      <c r="D6" s="84" t="s">
        <v>0</v>
      </c>
      <c r="E6" s="84" t="s">
        <v>1</v>
      </c>
      <c r="F6" s="84" t="s">
        <v>2</v>
      </c>
      <c r="G6" s="84" t="s">
        <v>3</v>
      </c>
      <c r="H6" s="84" t="s">
        <v>4</v>
      </c>
      <c r="I6" s="84" t="s">
        <v>5</v>
      </c>
      <c r="J6" s="84" t="s">
        <v>6</v>
      </c>
      <c r="K6" s="84" t="s">
        <v>7</v>
      </c>
      <c r="L6" s="84" t="s">
        <v>8</v>
      </c>
      <c r="M6" s="84" t="s">
        <v>9</v>
      </c>
      <c r="N6" s="84" t="s">
        <v>10</v>
      </c>
      <c r="O6" s="84" t="s">
        <v>11</v>
      </c>
      <c r="P6" s="84" t="s">
        <v>12</v>
      </c>
      <c r="Q6" s="84" t="s">
        <v>13</v>
      </c>
      <c r="R6" s="84" t="s">
        <v>14</v>
      </c>
      <c r="S6" s="84" t="s">
        <v>15</v>
      </c>
      <c r="T6" s="84" t="s">
        <v>16</v>
      </c>
      <c r="U6" s="84" t="s">
        <v>17</v>
      </c>
      <c r="V6" s="84" t="s">
        <v>18</v>
      </c>
      <c r="W6" s="84" t="s">
        <v>19</v>
      </c>
      <c r="X6" s="84" t="s">
        <v>20</v>
      </c>
      <c r="Y6" s="84" t="s">
        <v>21</v>
      </c>
      <c r="Z6" s="84" t="s">
        <v>22</v>
      </c>
      <c r="AA6" s="84" t="s">
        <v>23</v>
      </c>
      <c r="AB6" s="84" t="s">
        <v>24</v>
      </c>
      <c r="AC6" s="84" t="s">
        <v>25</v>
      </c>
      <c r="AD6" s="84" t="s">
        <v>26</v>
      </c>
      <c r="AE6" s="84" t="s">
        <v>27</v>
      </c>
      <c r="AF6" s="84" t="s">
        <v>28</v>
      </c>
      <c r="AG6" s="84" t="s">
        <v>29</v>
      </c>
      <c r="AH6" s="84" t="s">
        <v>113</v>
      </c>
      <c r="AI6" s="95" t="s">
        <v>37</v>
      </c>
      <c r="AJ6" s="86" t="s">
        <v>39</v>
      </c>
      <c r="AK6" s="87" t="s">
        <v>38</v>
      </c>
      <c r="AL6" s="88" t="s">
        <v>31</v>
      </c>
      <c r="AM6" s="91" t="s">
        <v>40</v>
      </c>
    </row>
    <row r="7" spans="1:39" ht="16.5" customHeight="1" thickTop="1" thickBot="1" x14ac:dyDescent="0.3">
      <c r="B7" s="96"/>
      <c r="C7" s="97" t="str">
        <f>IFERROR(VLOOKUP(PresençaemJunho[[#This Row],[ID do Aluno]],ListadeAlunos[],18,FALSE),"")</f>
        <v/>
      </c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9"/>
      <c r="AG7" s="84"/>
      <c r="AH7" s="84"/>
      <c r="AI7" s="100">
        <f>COUNTIF(PresençaemJunho[[#This Row],[1]:[ ]],Código1)</f>
        <v>0</v>
      </c>
      <c r="AJ7" s="100">
        <f>COUNTIF(PresençaemJunho[[#This Row],[1]:[ ]],Código2)</f>
        <v>0</v>
      </c>
      <c r="AK7" s="100">
        <f>COUNTIF(PresençaemJunho[[#This Row],[1]:[ ]],Código3)</f>
        <v>0</v>
      </c>
      <c r="AL7" s="100">
        <f>COUNTIF(PresençaemJunho[[#This Row],[1]:[ ]],Código4)</f>
        <v>0</v>
      </c>
      <c r="AM7" s="93">
        <f>SUM(PresençaemJunho[[#This Row],[E]:[U]])</f>
        <v>0</v>
      </c>
    </row>
    <row r="8" spans="1:39" ht="16.5" customHeight="1" thickTop="1" thickBot="1" x14ac:dyDescent="0.3">
      <c r="B8" s="96"/>
      <c r="C8" s="101" t="str">
        <f>IFERROR(VLOOKUP(PresençaemJunho[[#This Row],[ID do Aluno]],ListadeAlunos[],18,FALSE),"")</f>
        <v/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9"/>
      <c r="AG8" s="84"/>
      <c r="AH8" s="84"/>
      <c r="AI8" s="100">
        <f>COUNTIF(PresençaemJunho[[#This Row],[1]:[ ]],Código1)</f>
        <v>0</v>
      </c>
      <c r="AJ8" s="100">
        <f>COUNTIF(PresençaemJunho[[#This Row],[1]:[ ]],Código2)</f>
        <v>0</v>
      </c>
      <c r="AK8" s="100">
        <f>COUNTIF(PresençaemJunho[[#This Row],[1]:[ ]],Código3)</f>
        <v>0</v>
      </c>
      <c r="AL8" s="100">
        <f>COUNTIF(PresençaemJunho[[#This Row],[1]:[ ]],Código4)</f>
        <v>0</v>
      </c>
      <c r="AM8" s="93">
        <f>SUM(PresençaemJunho[[#This Row],[E]:[U]])</f>
        <v>0</v>
      </c>
    </row>
    <row r="9" spans="1:39" ht="16.5" customHeight="1" thickTop="1" thickBot="1" x14ac:dyDescent="0.3">
      <c r="B9" s="96"/>
      <c r="C9" s="101" t="str">
        <f>IFERROR(VLOOKUP(PresençaemJunho[[#This Row],[ID do Aluno]],ListadeAlunos[],18,FALSE),"")</f>
        <v/>
      </c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9"/>
      <c r="AG9" s="84"/>
      <c r="AH9" s="84"/>
      <c r="AI9" s="100">
        <f>COUNTIF(PresençaemJunho[[#This Row],[1]:[ ]],Código1)</f>
        <v>0</v>
      </c>
      <c r="AJ9" s="100">
        <f>COUNTIF(PresençaemJunho[[#This Row],[1]:[ ]],Código2)</f>
        <v>0</v>
      </c>
      <c r="AK9" s="100">
        <f>COUNTIF(PresençaemJunho[[#This Row],[1]:[ ]],Código3)</f>
        <v>0</v>
      </c>
      <c r="AL9" s="100">
        <f>COUNTIF(PresençaemJunho[[#This Row],[1]:[ ]],Código4)</f>
        <v>0</v>
      </c>
      <c r="AM9" s="93">
        <f>SUM(PresençaemJunho[[#This Row],[E]:[U]])</f>
        <v>0</v>
      </c>
    </row>
    <row r="10" spans="1:39" ht="16.5" customHeight="1" thickTop="1" thickBot="1" x14ac:dyDescent="0.3">
      <c r="B10" s="96"/>
      <c r="C10" s="101" t="str">
        <f>IFERROR(VLOOKUP(PresençaemJunho[[#This Row],[ID do Aluno]],ListadeAlunos[],18,FALSE),"")</f>
        <v/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9"/>
      <c r="AG10" s="84"/>
      <c r="AH10" s="84"/>
      <c r="AI10" s="100">
        <f>COUNTIF(PresençaemJunho[[#This Row],[1]:[ ]],Código1)</f>
        <v>0</v>
      </c>
      <c r="AJ10" s="100">
        <f>COUNTIF(PresençaemJunho[[#This Row],[1]:[ ]],Código2)</f>
        <v>0</v>
      </c>
      <c r="AK10" s="100">
        <f>COUNTIF(PresençaemJunho[[#This Row],[1]:[ ]],Código3)</f>
        <v>0</v>
      </c>
      <c r="AL10" s="100">
        <f>COUNTIF(PresençaemJunho[[#This Row],[1]:[ ]],Código4)</f>
        <v>0</v>
      </c>
      <c r="AM10" s="93">
        <f>SUM(PresençaemJunho[[#This Row],[E]:[U]])</f>
        <v>0</v>
      </c>
    </row>
    <row r="11" spans="1:39" ht="16.5" customHeight="1" thickTop="1" thickBot="1" x14ac:dyDescent="0.3">
      <c r="B11" s="96"/>
      <c r="C11" s="101" t="str">
        <f>IFERROR(VLOOKUP(PresençaemJunho[[#This Row],[ID do Aluno]],ListadeAlunos[],18,FALSE),"")</f>
        <v/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9"/>
      <c r="AG11" s="84"/>
      <c r="AH11" s="84"/>
      <c r="AI11" s="100">
        <f>COUNTIF(PresençaemJunho[[#This Row],[1]:[ ]],Código1)</f>
        <v>0</v>
      </c>
      <c r="AJ11" s="100">
        <f>COUNTIF(PresençaemJunho[[#This Row],[1]:[ ]],Código2)</f>
        <v>0</v>
      </c>
      <c r="AK11" s="100">
        <f>COUNTIF(PresençaemJunho[[#This Row],[1]:[ ]],Código3)</f>
        <v>0</v>
      </c>
      <c r="AL11" s="100">
        <f>COUNTIF(PresençaemJunho[[#This Row],[1]:[ ]],Código4)</f>
        <v>0</v>
      </c>
      <c r="AM11" s="93">
        <f>SUM(PresençaemJunho[[#This Row],[E]:[U]])</f>
        <v>0</v>
      </c>
    </row>
    <row r="12" spans="1:39" ht="16.5" customHeight="1" thickTop="1" thickBot="1" x14ac:dyDescent="0.3">
      <c r="B12" s="84"/>
      <c r="C12" s="89" t="s">
        <v>114</v>
      </c>
      <c r="D12" s="93">
        <f>COUNTIF(PresençaemJunho[1],"U")+COUNTIF(PresençaemJunho[1],"E")</f>
        <v>0</v>
      </c>
      <c r="E12" s="93">
        <f>COUNTIF(PresençaemJunho[2],"U")+COUNTIF(PresençaemJunho[2],"E")</f>
        <v>0</v>
      </c>
      <c r="F12" s="93">
        <f>COUNTIF(PresençaemJunho[3],"U")+COUNTIF(PresençaemJunho[3],"E")</f>
        <v>0</v>
      </c>
      <c r="G12" s="93">
        <f>COUNTIF(PresençaemJunho[4],"U")+COUNTIF(PresençaemJunho[4],"E")</f>
        <v>0</v>
      </c>
      <c r="H12" s="93">
        <f>COUNTIF(PresençaemJunho[5],"U")+COUNTIF(PresençaemJunho[5],"E")</f>
        <v>0</v>
      </c>
      <c r="I12" s="93">
        <f>COUNTIF(PresençaemJunho[6],"U")+COUNTIF(PresençaemJunho[6],"E")</f>
        <v>0</v>
      </c>
      <c r="J12" s="93">
        <f>COUNTIF(PresençaemJunho[7],"U")+COUNTIF(PresençaemJunho[7],"E")</f>
        <v>0</v>
      </c>
      <c r="K12" s="93">
        <f>COUNTIF(PresençaemJunho[8],"U")+COUNTIF(PresençaemJunho[8],"E")</f>
        <v>0</v>
      </c>
      <c r="L12" s="93">
        <f>COUNTIF(PresençaemJunho[9],"U")+COUNTIF(PresençaemJunho[9],"E")</f>
        <v>0</v>
      </c>
      <c r="M12" s="93">
        <f>COUNTIF(PresençaemJunho[10],"U")+COUNTIF(PresençaemJunho[10],"E")</f>
        <v>0</v>
      </c>
      <c r="N12" s="93">
        <f>COUNTIF(PresençaemJunho[11],"U")+COUNTIF(PresençaemJunho[11],"E")</f>
        <v>0</v>
      </c>
      <c r="O12" s="93">
        <f>COUNTIF(PresençaemJunho[12],"U")+COUNTIF(PresençaemJunho[12],"E")</f>
        <v>0</v>
      </c>
      <c r="P12" s="93">
        <f>COUNTIF(PresençaemJunho[13],"U")+COUNTIF(PresençaemJunho[13],"E")</f>
        <v>0</v>
      </c>
      <c r="Q12" s="93">
        <f>COUNTIF(PresençaemJunho[14],"U")+COUNTIF(PresençaemJunho[14],"E")</f>
        <v>0</v>
      </c>
      <c r="R12" s="93">
        <f>COUNTIF(PresençaemJunho[15],"U")+COUNTIF(PresençaemJunho[15],"E")</f>
        <v>0</v>
      </c>
      <c r="S12" s="93">
        <f>COUNTIF(PresençaemJunho[16],"U")+COUNTIF(PresençaemJunho[16],"E")</f>
        <v>0</v>
      </c>
      <c r="T12" s="93">
        <f>COUNTIF(PresençaemJunho[17],"U")+COUNTIF(PresençaemJunho[17],"E")</f>
        <v>0</v>
      </c>
      <c r="U12" s="93">
        <f>COUNTIF(PresençaemJunho[18],"U")+COUNTIF(PresençaemJunho[18],"E")</f>
        <v>0</v>
      </c>
      <c r="V12" s="93">
        <f>COUNTIF(PresençaemJunho[19],"U")+COUNTIF(PresençaemJunho[19],"E")</f>
        <v>0</v>
      </c>
      <c r="W12" s="93">
        <f>COUNTIF(PresençaemJunho[20],"U")+COUNTIF(PresençaemJunho[20],"E")</f>
        <v>0</v>
      </c>
      <c r="X12" s="93">
        <f>COUNTIF(PresençaemJunho[21],"U")+COUNTIF(PresençaemJunho[21],"E")</f>
        <v>0</v>
      </c>
      <c r="Y12" s="93">
        <f>COUNTIF(PresençaemJunho[22],"U")+COUNTIF(PresençaemJunho[22],"E")</f>
        <v>0</v>
      </c>
      <c r="Z12" s="93">
        <f>COUNTIF(PresençaemJunho[23],"U")+COUNTIF(PresençaemJunho[23],"E")</f>
        <v>0</v>
      </c>
      <c r="AA12" s="93">
        <f>COUNTIF(PresençaemJunho[24],"U")+COUNTIF(PresençaemJunho[24],"E")</f>
        <v>0</v>
      </c>
      <c r="AB12" s="93">
        <f>COUNTIF(PresençaemJunho[25],"U")+COUNTIF(PresençaemJunho[25],"E")</f>
        <v>0</v>
      </c>
      <c r="AC12" s="93">
        <f>COUNTIF(PresençaemJunho[26],"U")+COUNTIF(PresençaemJunho[26],"E")</f>
        <v>0</v>
      </c>
      <c r="AD12" s="93">
        <f>COUNTIF(PresençaemJunho[27],"U")+COUNTIF(PresençaemJunho[27],"E")</f>
        <v>0</v>
      </c>
      <c r="AE12" s="93">
        <f>COUNTIF(PresençaemJunho[28],"U")+COUNTIF(PresençaemJunho[28],"E")</f>
        <v>0</v>
      </c>
      <c r="AF12" s="93">
        <f>COUNTIF(PresençaemJunho[29],"U")+COUNTIF(PresençaemJunho[29],"E")</f>
        <v>0</v>
      </c>
      <c r="AG12" s="93"/>
      <c r="AH12" s="93"/>
      <c r="AI12" s="93">
        <f>SUBTOTAL(109,PresençaemJunho[T])</f>
        <v>0</v>
      </c>
      <c r="AJ12" s="93">
        <f>SUBTOTAL(109,PresençaemJunho[E])</f>
        <v>0</v>
      </c>
      <c r="AK12" s="93">
        <f>SUBTOTAL(109,PresençaemJunho[U])</f>
        <v>0</v>
      </c>
      <c r="AL12" s="93">
        <f>SUBTOTAL(109,PresençaemJunho[P])</f>
        <v>0</v>
      </c>
      <c r="AM12" s="93">
        <f>SUBTOTAL(109,PresençaemJunho[Dias de Ausência])</f>
        <v>0</v>
      </c>
    </row>
    <row r="13" spans="1:39" ht="16.5" customHeight="1" thickTop="1" x14ac:dyDescent="0.25"/>
    <row r="14" spans="1:39" ht="16.5" customHeight="1" x14ac:dyDescent="0.25"/>
    <row r="15" spans="1:39" ht="16.5" customHeight="1" x14ac:dyDescent="0.25"/>
    <row r="16" spans="1:39" ht="16.5" customHeight="1" x14ac:dyDescent="0.25"/>
    <row r="17" ht="16.5" customHeight="1" x14ac:dyDescent="0.25"/>
    <row r="18" ht="16.5" customHeight="1" x14ac:dyDescent="0.25"/>
    <row r="19" ht="16.5" customHeight="1" x14ac:dyDescent="0.25"/>
    <row r="20" ht="16.5" customHeight="1" x14ac:dyDescent="0.25"/>
    <row r="21" ht="16.5" customHeight="1" x14ac:dyDescent="0.25"/>
    <row r="22" ht="16.5" customHeight="1" x14ac:dyDescent="0.25"/>
    <row r="23" ht="16.5" customHeight="1" x14ac:dyDescent="0.25"/>
    <row r="24" ht="16.5" customHeight="1" x14ac:dyDescent="0.25"/>
    <row r="25" ht="16.5" customHeight="1" x14ac:dyDescent="0.25"/>
    <row r="26" ht="16.5" customHeight="1" x14ac:dyDescent="0.25"/>
    <row r="27" ht="16.5" customHeight="1" x14ac:dyDescent="0.25"/>
    <row r="28" ht="16.5" customHeight="1" x14ac:dyDescent="0.25"/>
    <row r="29" ht="16.5" customHeight="1" x14ac:dyDescent="0.25"/>
    <row r="30" ht="16.5" customHeight="1" x14ac:dyDescent="0.25"/>
    <row r="31" ht="16.5" customHeight="1" x14ac:dyDescent="0.25"/>
    <row r="32" ht="16.5" customHeight="1" x14ac:dyDescent="0.25"/>
    <row r="33" ht="16.5" customHeight="1" x14ac:dyDescent="0.25"/>
    <row r="34" ht="16.5" customHeight="1" x14ac:dyDescent="0.25"/>
    <row r="35" ht="16.5" customHeight="1" x14ac:dyDescent="0.25"/>
    <row r="36" ht="16.5" customHeight="1" x14ac:dyDescent="0.25"/>
    <row r="37" ht="16.5" customHeight="1" x14ac:dyDescent="0.25"/>
    <row r="38" ht="16.5" customHeight="1" x14ac:dyDescent="0.25"/>
    <row r="39" ht="16.5" customHeight="1" x14ac:dyDescent="0.25"/>
    <row r="40" ht="16.5" customHeight="1" x14ac:dyDescent="0.25"/>
    <row r="41" ht="16.5" customHeight="1" x14ac:dyDescent="0.25"/>
    <row r="42" ht="16.5" customHeight="1" x14ac:dyDescent="0.25"/>
    <row r="43" ht="16.5" customHeight="1" x14ac:dyDescent="0.25"/>
    <row r="44" ht="16.5" customHeight="1" x14ac:dyDescent="0.25"/>
    <row r="45" ht="16.5" customHeight="1" x14ac:dyDescent="0.25"/>
    <row r="46" ht="16.5" customHeight="1" x14ac:dyDescent="0.25"/>
    <row r="47" ht="16.5" customHeight="1" x14ac:dyDescent="0.25"/>
    <row r="48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2" ht="16.5" customHeight="1" x14ac:dyDescent="0.25"/>
    <row r="63" ht="16.5" customHeight="1" x14ac:dyDescent="0.25"/>
    <row r="64" ht="16.5" customHeight="1" x14ac:dyDescent="0.25"/>
    <row r="65" ht="16.5" customHeight="1" x14ac:dyDescent="0.25"/>
    <row r="66" ht="16.5" customHeight="1" x14ac:dyDescent="0.25"/>
    <row r="67" ht="16.5" customHeight="1" x14ac:dyDescent="0.25"/>
    <row r="68" ht="16.5" customHeight="1" x14ac:dyDescent="0.25"/>
    <row r="69" ht="16.5" customHeight="1" x14ac:dyDescent="0.25"/>
    <row r="70" ht="16.5" customHeight="1" x14ac:dyDescent="0.25"/>
    <row r="71" ht="16.5" customHeight="1" x14ac:dyDescent="0.25"/>
    <row r="72" ht="16.5" customHeight="1" x14ac:dyDescent="0.25"/>
    <row r="73" ht="16.5" customHeight="1" x14ac:dyDescent="0.25"/>
    <row r="74" ht="16.5" customHeight="1" x14ac:dyDescent="0.25"/>
    <row r="75" ht="16.5" customHeight="1" x14ac:dyDescent="0.25"/>
    <row r="76" ht="16.5" customHeight="1" x14ac:dyDescent="0.25"/>
    <row r="77" ht="16.5" customHeight="1" x14ac:dyDescent="0.25"/>
    <row r="78" ht="16.5" customHeight="1" x14ac:dyDescent="0.25"/>
    <row r="79" ht="16.5" customHeight="1" x14ac:dyDescent="0.25"/>
    <row r="80" ht="16.5" customHeight="1" x14ac:dyDescent="0.25"/>
    <row r="81" ht="16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  <row r="87" ht="16.5" customHeight="1" x14ac:dyDescent="0.25"/>
    <row r="88" ht="16.5" customHeight="1" x14ac:dyDescent="0.25"/>
    <row r="89" ht="16.5" customHeight="1" x14ac:dyDescent="0.25"/>
    <row r="90" ht="16.5" customHeight="1" x14ac:dyDescent="0.25"/>
    <row r="91" ht="16.5" customHeight="1" x14ac:dyDescent="0.25"/>
    <row r="92" ht="16.5" customHeight="1" x14ac:dyDescent="0.25"/>
    <row r="93" ht="16.5" customHeight="1" x14ac:dyDescent="0.25"/>
    <row r="94" ht="16.5" customHeight="1" x14ac:dyDescent="0.25"/>
    <row r="95" ht="16.5" customHeight="1" x14ac:dyDescent="0.25"/>
    <row r="96" ht="16.5" customHeight="1" x14ac:dyDescent="0.25"/>
    <row r="97" ht="16.5" customHeight="1" x14ac:dyDescent="0.25"/>
    <row r="98" ht="16.5" customHeight="1" x14ac:dyDescent="0.25"/>
    <row r="99" ht="16.5" customHeight="1" x14ac:dyDescent="0.25"/>
    <row r="100" ht="16.5" customHeight="1" x14ac:dyDescent="0.25"/>
    <row r="101" ht="16.5" customHeight="1" x14ac:dyDescent="0.25"/>
    <row r="102" ht="16.5" customHeight="1" x14ac:dyDescent="0.25"/>
    <row r="103" ht="16.5" customHeight="1" x14ac:dyDescent="0.25"/>
    <row r="104" ht="16.5" customHeight="1" x14ac:dyDescent="0.25"/>
    <row r="105" ht="16.5" customHeight="1" x14ac:dyDescent="0.25"/>
    <row r="106" ht="16.5" customHeight="1" x14ac:dyDescent="0.25"/>
    <row r="107" ht="16.5" customHeight="1" x14ac:dyDescent="0.25"/>
    <row r="108" ht="16.5" customHeight="1" x14ac:dyDescent="0.25"/>
    <row r="109" ht="16.5" customHeight="1" x14ac:dyDescent="0.25"/>
    <row r="110" ht="16.5" customHeight="1" x14ac:dyDescent="0.25"/>
    <row r="111" ht="16.5" customHeight="1" x14ac:dyDescent="0.25"/>
    <row r="112" ht="16.5" customHeight="1" x14ac:dyDescent="0.25"/>
    <row r="113" ht="16.5" customHeight="1" x14ac:dyDescent="0.25"/>
    <row r="114" ht="16.5" customHeight="1" x14ac:dyDescent="0.25"/>
    <row r="115" ht="16.5" customHeight="1" x14ac:dyDescent="0.25"/>
    <row r="116" ht="16.5" customHeight="1" x14ac:dyDescent="0.25"/>
    <row r="117" ht="16.5" customHeight="1" x14ac:dyDescent="0.25"/>
    <row r="118" ht="16.5" customHeight="1" x14ac:dyDescent="0.25"/>
    <row r="119" ht="16.5" customHeight="1" x14ac:dyDescent="0.25"/>
    <row r="120" ht="16.5" customHeight="1" x14ac:dyDescent="0.25"/>
    <row r="121" ht="16.5" customHeight="1" x14ac:dyDescent="0.25"/>
    <row r="122" ht="16.5" customHeight="1" x14ac:dyDescent="0.25"/>
    <row r="123" ht="16.5" customHeight="1" x14ac:dyDescent="0.25"/>
    <row r="124" ht="16.5" customHeight="1" x14ac:dyDescent="0.25"/>
    <row r="125" ht="16.5" customHeight="1" x14ac:dyDescent="0.25"/>
    <row r="126" ht="16.5" customHeight="1" x14ac:dyDescent="0.25"/>
    <row r="127" ht="16.5" customHeight="1" x14ac:dyDescent="0.25"/>
    <row r="128" ht="16.5" customHeight="1" x14ac:dyDescent="0.25"/>
    <row r="129" ht="16.5" customHeight="1" x14ac:dyDescent="0.25"/>
    <row r="130" ht="16.5" customHeight="1" x14ac:dyDescent="0.25"/>
    <row r="131" ht="16.5" customHeight="1" x14ac:dyDescent="0.25"/>
    <row r="132" ht="16.5" customHeight="1" x14ac:dyDescent="0.25"/>
    <row r="133" ht="16.5" customHeight="1" x14ac:dyDescent="0.25"/>
    <row r="134" ht="16.5" customHeight="1" x14ac:dyDescent="0.25"/>
    <row r="135" ht="16.5" customHeight="1" x14ac:dyDescent="0.25"/>
    <row r="136" ht="16.5" customHeight="1" x14ac:dyDescent="0.25"/>
    <row r="137" ht="16.5" customHeight="1" x14ac:dyDescent="0.25"/>
    <row r="138" ht="16.5" customHeight="1" x14ac:dyDescent="0.25"/>
    <row r="139" ht="16.5" customHeight="1" x14ac:dyDescent="0.25"/>
    <row r="140" ht="16.5" customHeight="1" x14ac:dyDescent="0.25"/>
    <row r="141" ht="16.5" customHeight="1" x14ac:dyDescent="0.25"/>
    <row r="142" ht="16.5" customHeight="1" x14ac:dyDescent="0.25"/>
    <row r="143" ht="16.5" customHeight="1" x14ac:dyDescent="0.25"/>
    <row r="144" ht="16.5" customHeight="1" x14ac:dyDescent="0.25"/>
    <row r="145" ht="16.5" customHeight="1" x14ac:dyDescent="0.25"/>
    <row r="146" ht="16.5" customHeight="1" x14ac:dyDescent="0.25"/>
    <row r="147" ht="16.5" customHeight="1" x14ac:dyDescent="0.25"/>
    <row r="148" ht="16.5" customHeight="1" x14ac:dyDescent="0.25"/>
    <row r="149" ht="16.5" customHeight="1" x14ac:dyDescent="0.25"/>
    <row r="150" ht="16.5" customHeight="1" x14ac:dyDescent="0.25"/>
    <row r="151" ht="16.5" customHeight="1" x14ac:dyDescent="0.25"/>
    <row r="152" ht="16.5" customHeight="1" x14ac:dyDescent="0.25"/>
    <row r="153" ht="16.5" customHeight="1" x14ac:dyDescent="0.25"/>
    <row r="154" ht="16.5" customHeight="1" x14ac:dyDescent="0.25"/>
    <row r="155" ht="16.5" customHeight="1" x14ac:dyDescent="0.25"/>
    <row r="156" ht="16.5" customHeight="1" x14ac:dyDescent="0.25"/>
    <row r="157" ht="16.5" customHeight="1" x14ac:dyDescent="0.25"/>
    <row r="158" ht="16.5" customHeight="1" x14ac:dyDescent="0.25"/>
    <row r="159" ht="16.5" customHeight="1" x14ac:dyDescent="0.25"/>
    <row r="160" ht="16.5" customHeight="1" x14ac:dyDescent="0.25"/>
    <row r="161" ht="16.5" customHeight="1" x14ac:dyDescent="0.25"/>
    <row r="162" ht="16.5" customHeight="1" x14ac:dyDescent="0.25"/>
    <row r="163" ht="16.5" customHeight="1" x14ac:dyDescent="0.25"/>
    <row r="164" ht="16.5" customHeight="1" x14ac:dyDescent="0.25"/>
    <row r="165" ht="16.5" customHeight="1" x14ac:dyDescent="0.25"/>
    <row r="166" ht="16.5" customHeight="1" x14ac:dyDescent="0.25"/>
    <row r="167" ht="16.5" customHeight="1" x14ac:dyDescent="0.25"/>
    <row r="168" ht="16.5" customHeight="1" x14ac:dyDescent="0.25"/>
    <row r="169" ht="16.5" customHeight="1" x14ac:dyDescent="0.25"/>
    <row r="170" ht="16.5" customHeight="1" x14ac:dyDescent="0.25"/>
    <row r="171" ht="16.5" customHeight="1" x14ac:dyDescent="0.25"/>
    <row r="172" ht="16.5" customHeight="1" x14ac:dyDescent="0.25"/>
    <row r="173" ht="16.5" customHeight="1" x14ac:dyDescent="0.25"/>
    <row r="174" ht="16.5" customHeight="1" x14ac:dyDescent="0.25"/>
    <row r="175" ht="16.5" customHeight="1" x14ac:dyDescent="0.25"/>
    <row r="176" ht="16.5" customHeight="1" x14ac:dyDescent="0.25"/>
    <row r="177" ht="16.5" customHeight="1" x14ac:dyDescent="0.25"/>
    <row r="178" ht="16.5" customHeight="1" x14ac:dyDescent="0.25"/>
    <row r="179" ht="16.5" customHeight="1" x14ac:dyDescent="0.25"/>
    <row r="180" ht="16.5" customHeight="1" x14ac:dyDescent="0.25"/>
    <row r="181" ht="16.5" customHeight="1" x14ac:dyDescent="0.25"/>
    <row r="182" ht="16.5" customHeight="1" x14ac:dyDescent="0.25"/>
    <row r="183" ht="16.5" customHeight="1" x14ac:dyDescent="0.25"/>
    <row r="184" ht="16.5" customHeight="1" x14ac:dyDescent="0.25"/>
    <row r="185" ht="16.5" customHeight="1" x14ac:dyDescent="0.25"/>
    <row r="186" ht="16.5" customHeight="1" x14ac:dyDescent="0.25"/>
    <row r="187" ht="16.5" customHeight="1" x14ac:dyDescent="0.25"/>
    <row r="188" ht="16.5" customHeight="1" x14ac:dyDescent="0.25"/>
    <row r="189" ht="16.5" customHeight="1" x14ac:dyDescent="0.25"/>
    <row r="190" ht="16.5" customHeight="1" x14ac:dyDescent="0.25"/>
    <row r="191" ht="16.5" customHeight="1" x14ac:dyDescent="0.25"/>
    <row r="192" ht="16.5" customHeight="1" x14ac:dyDescent="0.25"/>
    <row r="193" ht="16.5" customHeight="1" x14ac:dyDescent="0.25"/>
    <row r="194" ht="16.5" customHeight="1" x14ac:dyDescent="0.25"/>
    <row r="195" ht="16.5" customHeight="1" x14ac:dyDescent="0.25"/>
    <row r="196" ht="16.5" customHeight="1" x14ac:dyDescent="0.25"/>
    <row r="197" ht="16.5" customHeight="1" x14ac:dyDescent="0.25"/>
    <row r="198" ht="16.5" customHeight="1" x14ac:dyDescent="0.25"/>
    <row r="199" ht="16.5" customHeight="1" x14ac:dyDescent="0.25"/>
    <row r="200" ht="16.5" customHeight="1" x14ac:dyDescent="0.25"/>
    <row r="201" ht="16.5" customHeight="1" x14ac:dyDescent="0.25"/>
    <row r="202" ht="16.5" customHeight="1" x14ac:dyDescent="0.25"/>
    <row r="203" ht="16.5" customHeight="1" x14ac:dyDescent="0.25"/>
    <row r="204" ht="16.5" customHeight="1" x14ac:dyDescent="0.25"/>
    <row r="205" ht="16.5" customHeight="1" x14ac:dyDescent="0.25"/>
    <row r="206" ht="16.5" customHeight="1" x14ac:dyDescent="0.25"/>
    <row r="207" ht="16.5" customHeight="1" x14ac:dyDescent="0.25"/>
    <row r="208" ht="16.5" customHeight="1" x14ac:dyDescent="0.25"/>
    <row r="209" ht="16.5" customHeight="1" x14ac:dyDescent="0.25"/>
    <row r="210" ht="16.5" customHeight="1" x14ac:dyDescent="0.25"/>
    <row r="211" ht="16.5" customHeight="1" x14ac:dyDescent="0.25"/>
    <row r="212" ht="16.5" customHeight="1" x14ac:dyDescent="0.25"/>
    <row r="213" ht="16.5" customHeight="1" x14ac:dyDescent="0.25"/>
    <row r="214" ht="16.5" customHeight="1" x14ac:dyDescent="0.25"/>
    <row r="215" ht="16.5" customHeight="1" x14ac:dyDescent="0.25"/>
    <row r="216" ht="16.5" customHeight="1" x14ac:dyDescent="0.25"/>
    <row r="217" ht="16.5" customHeight="1" x14ac:dyDescent="0.25"/>
    <row r="218" ht="16.5" customHeight="1" x14ac:dyDescent="0.25"/>
    <row r="219" ht="16.5" customHeight="1" x14ac:dyDescent="0.25"/>
    <row r="220" ht="16.5" customHeight="1" x14ac:dyDescent="0.25"/>
    <row r="221" ht="16.5" customHeight="1" x14ac:dyDescent="0.25"/>
    <row r="222" ht="16.5" customHeight="1" x14ac:dyDescent="0.25"/>
    <row r="223" ht="16.5" customHeight="1" x14ac:dyDescent="0.25"/>
    <row r="224" ht="16.5" customHeight="1" x14ac:dyDescent="0.25"/>
    <row r="225" ht="16.5" customHeight="1" x14ac:dyDescent="0.25"/>
    <row r="226" ht="16.5" customHeight="1" x14ac:dyDescent="0.25"/>
    <row r="227" ht="16.5" customHeight="1" x14ac:dyDescent="0.25"/>
    <row r="228" ht="16.5" customHeight="1" x14ac:dyDescent="0.25"/>
    <row r="229" ht="16.5" customHeight="1" x14ac:dyDescent="0.25"/>
    <row r="230" ht="16.5" customHeight="1" x14ac:dyDescent="0.25"/>
    <row r="231" ht="16.5" customHeight="1" x14ac:dyDescent="0.25"/>
    <row r="232" ht="16.5" customHeight="1" x14ac:dyDescent="0.25"/>
    <row r="233" ht="16.5" customHeight="1" x14ac:dyDescent="0.25"/>
    <row r="234" ht="16.5" customHeight="1" x14ac:dyDescent="0.25"/>
    <row r="235" ht="16.5" customHeight="1" x14ac:dyDescent="0.25"/>
    <row r="236" ht="16.5" customHeight="1" x14ac:dyDescent="0.25"/>
    <row r="237" ht="16.5" customHeight="1" x14ac:dyDescent="0.25"/>
    <row r="238" ht="16.5" customHeight="1" x14ac:dyDescent="0.25"/>
    <row r="239" ht="16.5" customHeight="1" x14ac:dyDescent="0.25"/>
    <row r="240" ht="16.5" customHeight="1" x14ac:dyDescent="0.25"/>
    <row r="241" ht="16.5" customHeight="1" x14ac:dyDescent="0.25"/>
    <row r="242" ht="16.5" customHeight="1" x14ac:dyDescent="0.25"/>
    <row r="243" ht="16.5" customHeight="1" x14ac:dyDescent="0.25"/>
    <row r="244" ht="16.5" customHeight="1" x14ac:dyDescent="0.25"/>
    <row r="245" ht="16.5" customHeight="1" x14ac:dyDescent="0.25"/>
    <row r="246" ht="16.5" customHeight="1" x14ac:dyDescent="0.25"/>
    <row r="247" ht="16.5" customHeight="1" x14ac:dyDescent="0.25"/>
    <row r="248" ht="16.5" customHeight="1" x14ac:dyDescent="0.25"/>
    <row r="249" ht="16.5" customHeight="1" x14ac:dyDescent="0.25"/>
    <row r="250" ht="16.5" customHeight="1" x14ac:dyDescent="0.25"/>
    <row r="251" ht="16.5" customHeight="1" x14ac:dyDescent="0.25"/>
    <row r="252" ht="16.5" customHeight="1" x14ac:dyDescent="0.25"/>
    <row r="253" ht="16.5" customHeight="1" x14ac:dyDescent="0.25"/>
    <row r="254" ht="16.5" customHeight="1" x14ac:dyDescent="0.25"/>
    <row r="255" ht="16.5" customHeight="1" x14ac:dyDescent="0.25"/>
    <row r="256" ht="16.5" customHeight="1" x14ac:dyDescent="0.25"/>
    <row r="257" ht="16.5" customHeight="1" x14ac:dyDescent="0.25"/>
    <row r="258" ht="16.5" customHeight="1" x14ac:dyDescent="0.25"/>
    <row r="259" ht="16.5" customHeight="1" x14ac:dyDescent="0.25"/>
    <row r="260" ht="16.5" customHeight="1" x14ac:dyDescent="0.25"/>
    <row r="261" ht="16.5" customHeight="1" x14ac:dyDescent="0.25"/>
    <row r="262" ht="16.5" customHeight="1" x14ac:dyDescent="0.25"/>
    <row r="263" ht="16.5" customHeight="1" x14ac:dyDescent="0.25"/>
    <row r="264" ht="16.5" customHeight="1" x14ac:dyDescent="0.25"/>
  </sheetData>
  <sheetProtection formatCells="0" formatColumns="0" formatRows="0" insertColumns="0" insertRows="0" insertHyperlinks="0" deleteColumns="0" deleteRows="0" sort="0" autoFilter="0" pivotTables="0"/>
  <mergeCells count="1">
    <mergeCell ref="AI5:AM5"/>
  </mergeCells>
  <conditionalFormatting sqref="D7:AF11">
    <cfRule type="expression" dxfId="15" priority="2" stopIfTrue="1">
      <formula>D7=Código2</formula>
    </cfRule>
    <cfRule type="expression" dxfId="14" priority="3" stopIfTrue="1">
      <formula>D7=Código5</formula>
    </cfRule>
    <cfRule type="expression" dxfId="13" priority="4" stopIfTrue="1">
      <formula>D7=Código4</formula>
    </cfRule>
    <cfRule type="expression" dxfId="12" priority="5" stopIfTrue="1">
      <formula>D7=Código3</formula>
    </cfRule>
    <cfRule type="expression" dxfId="11" priority="6" stopIfTrue="1">
      <formula>D7=Código1</formula>
    </cfRule>
  </conditionalFormatting>
  <conditionalFormatting sqref="AM7:AM11">
    <cfRule type="dataBar" priority="1">
      <dataBar>
        <cfvo type="min"/>
        <cfvo type="num" val="DATEDIF(DATE(AnoCalendário,2,1),DATE(AnoCalendário,3,1),&quot;d&quot;)"/>
        <color theme="4"/>
      </dataBar>
      <extLst>
        <ext xmlns:x14="http://schemas.microsoft.com/office/spreadsheetml/2009/9/main" uri="{B025F937-C7B1-47D3-B67F-A62EFF666E3E}">
          <x14:id>{22C67C28-76AD-46BA-A7A2-13A61F3247FE}</x14:id>
        </ext>
      </extLst>
    </cfRule>
  </conditionalFormatting>
  <dataValidations count="1">
    <dataValidation type="list" errorStyle="warning" allowBlank="1" showInputMessage="1" showErrorMessage="1" errorTitle="Ops!" error="A ID de Aluno que você inseriu não está na planilha Lista de Alunos. Você pode clicar em Sim para usar a ID de Aluno inserida, mas ela não estará disponível na planilha Relatório de Presença dos Alunos." sqref="B7:B11" xr:uid="{00000000-0002-0000-0D00-000000000000}">
      <formula1>IDAluno</formula1>
    </dataValidation>
  </dataValidations>
  <printOptions horizontalCentered="1"/>
  <pageMargins left="0.5" right="0.5" top="0.75" bottom="0.75" header="0.3" footer="0.3"/>
  <pageSetup paperSize="9" scale="59" fitToHeight="0" orientation="landscape" verticalDpi="1200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2C67C28-76AD-46BA-A7A2-13A61F3247FE}">
            <x14:dataBar minLength="0" maxLength="100" border="1" negativeBarBorderColorSameAsPositive="0">
              <x14:cfvo type="autoMin"/>
              <x14:cfvo type="num">
                <xm:f>DATEDIF(DATE(AnoCalendário,2,1),DATE(AnoCalendário,3,1),"d")</xm:f>
              </x14:cfvo>
              <x14:borderColor theme="4"/>
              <x14:negativeFillColor rgb="FFFF0000"/>
              <x14:negativeBorderColor rgb="FFFF0000"/>
              <x14:axisColor rgb="FF000000"/>
            </x14:dataBar>
          </x14:cfRule>
          <xm:sqref>AM7:AM11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79998168889431442"/>
    <pageSetUpPr fitToPage="1"/>
  </sheetPr>
  <dimension ref="A1:AM264"/>
  <sheetViews>
    <sheetView showGridLines="0" zoomScaleNormal="100" workbookViewId="0">
      <pane xSplit="3" ySplit="6" topLeftCell="AG7" activePane="bottomRight" state="frozen"/>
      <selection activeCell="Y16" sqref="Y16"/>
      <selection pane="topRight" activeCell="Y16" sqref="Y16"/>
      <selection pane="bottomLeft" activeCell="Y16" sqref="Y16"/>
      <selection pane="bottomRight"/>
    </sheetView>
  </sheetViews>
  <sheetFormatPr defaultColWidth="9.109375" defaultRowHeight="15" customHeight="1" x14ac:dyDescent="0.25"/>
  <cols>
    <col min="1" max="1" width="2.6640625" style="8" customWidth="1"/>
    <col min="2" max="2" width="11.88671875" style="8" bestFit="1" customWidth="1"/>
    <col min="3" max="3" width="28.88671875" style="9" customWidth="1"/>
    <col min="4" max="34" width="5" style="7" customWidth="1"/>
    <col min="35" max="35" width="4.6640625" style="6" customWidth="1"/>
    <col min="36" max="36" width="4.6640625" style="7" customWidth="1"/>
    <col min="37" max="38" width="4.6640625" style="8" customWidth="1"/>
    <col min="39" max="39" width="19.5546875" style="8" bestFit="1" customWidth="1"/>
    <col min="40" max="16384" width="9.109375" style="8"/>
  </cols>
  <sheetData>
    <row r="1" spans="1:39" s="1" customFormat="1" ht="42" customHeight="1" x14ac:dyDescent="0.25">
      <c r="A1" s="21" t="s">
        <v>88</v>
      </c>
      <c r="B1" s="22"/>
      <c r="C1" s="22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2"/>
      <c r="AD1" s="22"/>
      <c r="AE1" s="22"/>
      <c r="AF1" s="22"/>
      <c r="AG1" s="24"/>
      <c r="AH1" s="22"/>
      <c r="AI1" s="22"/>
      <c r="AJ1" s="25"/>
      <c r="AK1" s="22"/>
      <c r="AL1" s="34" t="s">
        <v>72</v>
      </c>
      <c r="AM1" s="35">
        <f>AnoCalendário</f>
        <v>2016</v>
      </c>
    </row>
    <row r="2" spans="1:39" customFormat="1" ht="13.2" x14ac:dyDescent="0.25"/>
    <row r="3" spans="1:39" s="17" customFormat="1" ht="12.75" customHeight="1" x14ac:dyDescent="0.25">
      <c r="C3" s="27" t="str">
        <f>TextodaChavedeCor</f>
        <v xml:space="preserve">CHAVE COLORIDA </v>
      </c>
      <c r="D3" s="28" t="str">
        <f>Código1</f>
        <v>T</v>
      </c>
      <c r="E3" s="41" t="str">
        <f>TextodeCódigo1</f>
        <v>Atrasado</v>
      </c>
      <c r="F3" s="33"/>
      <c r="H3" s="29" t="str">
        <f>Código2</f>
        <v>E</v>
      </c>
      <c r="I3" s="33" t="str">
        <f>TextodeCódigo2</f>
        <v>Dispensado</v>
      </c>
      <c r="L3" s="30" t="str">
        <f>Código3</f>
        <v>F</v>
      </c>
      <c r="M3" s="33" t="str">
        <f>TextodeCódigo3</f>
        <v>faltou a aula</v>
      </c>
      <c r="P3" s="31" t="str">
        <f>Código4</f>
        <v>P</v>
      </c>
      <c r="Q3" s="33" t="str">
        <f>TextodeCódigo4</f>
        <v>Presente</v>
      </c>
      <c r="T3" s="32" t="str">
        <f>Código5</f>
        <v>N</v>
      </c>
      <c r="U3" s="33" t="str">
        <f>TextodeCódigo5</f>
        <v>Sem Aula</v>
      </c>
      <c r="W3"/>
      <c r="X3"/>
      <c r="Y3"/>
      <c r="AD3" s="16"/>
      <c r="AE3" s="16"/>
      <c r="AH3" s="18"/>
      <c r="AI3" s="19"/>
      <c r="AK3" s="20"/>
    </row>
    <row r="4" spans="1:39" customFormat="1" ht="16.5" customHeight="1" x14ac:dyDescent="0.25"/>
    <row r="5" spans="1:39" s="2" customFormat="1" ht="18" customHeight="1" thickBot="1" x14ac:dyDescent="0.35">
      <c r="B5" s="79">
        <f>DATE(AnoCalendário+1,7,1)</f>
        <v>42917</v>
      </c>
      <c r="C5" s="80"/>
      <c r="D5" s="81" t="str">
        <f>TEXT(WEEKDAY(DATE(AnoCalendário+1,7,1),1),"ddd")</f>
        <v>sáb</v>
      </c>
      <c r="E5" s="81" t="str">
        <f>TEXT(WEEKDAY(DATE(AnoCalendário+1,7,2),1),"ddd")</f>
        <v>dom</v>
      </c>
      <c r="F5" s="81" t="str">
        <f>TEXT(WEEKDAY(DATE(AnoCalendário+1,7,3),1),"ddd")</f>
        <v>seg</v>
      </c>
      <c r="G5" s="81" t="str">
        <f>TEXT(WEEKDAY(DATE(AnoCalendário+1,7,4),1),"ddd")</f>
        <v>ter</v>
      </c>
      <c r="H5" s="81" t="str">
        <f>TEXT(WEEKDAY(DATE(AnoCalendário+1,7,5),1),"ddd")</f>
        <v>qua</v>
      </c>
      <c r="I5" s="81" t="str">
        <f>TEXT(WEEKDAY(DATE(AnoCalendário+1,7,6),1),"ddd")</f>
        <v>qui</v>
      </c>
      <c r="J5" s="81" t="str">
        <f>TEXT(WEEKDAY(DATE(AnoCalendário+1,7,7),1),"ddd")</f>
        <v>sex</v>
      </c>
      <c r="K5" s="81" t="str">
        <f>TEXT(WEEKDAY(DATE(AnoCalendário+1,7,8),1),"ddd")</f>
        <v>sáb</v>
      </c>
      <c r="L5" s="81" t="str">
        <f>TEXT(WEEKDAY(DATE(AnoCalendário+1,7,9),1),"ddd")</f>
        <v>dom</v>
      </c>
      <c r="M5" s="81" t="str">
        <f>TEXT(WEEKDAY(DATE(AnoCalendário+1,7,10),1),"ddd")</f>
        <v>seg</v>
      </c>
      <c r="N5" s="81" t="str">
        <f>TEXT(WEEKDAY(DATE(AnoCalendário+1,7,11),1),"ddd")</f>
        <v>ter</v>
      </c>
      <c r="O5" s="81" t="str">
        <f>TEXT(WEEKDAY(DATE(AnoCalendário+1,7,12),1),"ddd")</f>
        <v>qua</v>
      </c>
      <c r="P5" s="81" t="str">
        <f>TEXT(WEEKDAY(DATE(AnoCalendário+1,7,13),1),"ddd")</f>
        <v>qui</v>
      </c>
      <c r="Q5" s="81" t="str">
        <f>TEXT(WEEKDAY(DATE(AnoCalendário+1,7,14),1),"ddd")</f>
        <v>sex</v>
      </c>
      <c r="R5" s="81" t="str">
        <f>TEXT(WEEKDAY(DATE(AnoCalendário+1,7,15),1),"ddd")</f>
        <v>sáb</v>
      </c>
      <c r="S5" s="81" t="str">
        <f>TEXT(WEEKDAY(DATE(AnoCalendário+1,7,16),1),"ddd")</f>
        <v>dom</v>
      </c>
      <c r="T5" s="81" t="str">
        <f>TEXT(WEEKDAY(DATE(AnoCalendário+1,7,17),1),"ddd")</f>
        <v>seg</v>
      </c>
      <c r="U5" s="81" t="str">
        <f>TEXT(WEEKDAY(DATE(AnoCalendário+1,7,18),1),"ddd")</f>
        <v>ter</v>
      </c>
      <c r="V5" s="81" t="str">
        <f>TEXT(WEEKDAY(DATE(AnoCalendário+1,7,19),1),"ddd")</f>
        <v>qua</v>
      </c>
      <c r="W5" s="81" t="str">
        <f>TEXT(WEEKDAY(DATE(AnoCalendário+1,7,20),1),"ddd")</f>
        <v>qui</v>
      </c>
      <c r="X5" s="81" t="str">
        <f>TEXT(WEEKDAY(DATE(AnoCalendário+1,7,21),1),"ddd")</f>
        <v>sex</v>
      </c>
      <c r="Y5" s="81" t="str">
        <f>TEXT(WEEKDAY(DATE(AnoCalendário+1,7,22),1),"ddd")</f>
        <v>sáb</v>
      </c>
      <c r="Z5" s="81" t="str">
        <f>TEXT(WEEKDAY(DATE(AnoCalendário+1,7,23),1),"ddd")</f>
        <v>dom</v>
      </c>
      <c r="AA5" s="81" t="str">
        <f>TEXT(WEEKDAY(DATE(AnoCalendário+1,7,24),1),"ddd")</f>
        <v>seg</v>
      </c>
      <c r="AB5" s="81" t="str">
        <f>TEXT(WEEKDAY(DATE(AnoCalendário+1,7,25),1),"ddd")</f>
        <v>ter</v>
      </c>
      <c r="AC5" s="81" t="str">
        <f>TEXT(WEEKDAY(DATE(AnoCalendário+1,7,26),1),"ddd")</f>
        <v>qua</v>
      </c>
      <c r="AD5" s="81" t="str">
        <f>TEXT(WEEKDAY(DATE(AnoCalendário+1,7,27),1),"ddd")</f>
        <v>qui</v>
      </c>
      <c r="AE5" s="81" t="str">
        <f>TEXT(WEEKDAY(DATE(AnoCalendário+1,7,28),1),"ddd")</f>
        <v>sex</v>
      </c>
      <c r="AF5" s="81" t="str">
        <f>TEXT(WEEKDAY(DATE(AnoCalendário+1,7,29),1),"ddd")</f>
        <v>sáb</v>
      </c>
      <c r="AG5" s="81" t="str">
        <f>TEXT(WEEKDAY(DATE(AnoCalendário+1,7,30),1),"ddd")</f>
        <v>dom</v>
      </c>
      <c r="AH5" s="81" t="str">
        <f>TEXT(WEEKDAY(DATE(AnoCalendário+1,7,31),1),"ddd")</f>
        <v>seg</v>
      </c>
      <c r="AI5" s="108" t="s">
        <v>41</v>
      </c>
      <c r="AJ5" s="108"/>
      <c r="AK5" s="108"/>
      <c r="AL5" s="108"/>
      <c r="AM5" s="108"/>
    </row>
    <row r="6" spans="1:39" ht="14.25" customHeight="1" thickTop="1" thickBot="1" x14ac:dyDescent="0.3">
      <c r="B6" s="82" t="s">
        <v>34</v>
      </c>
      <c r="C6" s="83" t="s">
        <v>36</v>
      </c>
      <c r="D6" s="84" t="s">
        <v>0</v>
      </c>
      <c r="E6" s="84" t="s">
        <v>1</v>
      </c>
      <c r="F6" s="84" t="s">
        <v>2</v>
      </c>
      <c r="G6" s="84" t="s">
        <v>3</v>
      </c>
      <c r="H6" s="84" t="s">
        <v>4</v>
      </c>
      <c r="I6" s="84" t="s">
        <v>5</v>
      </c>
      <c r="J6" s="84" t="s">
        <v>6</v>
      </c>
      <c r="K6" s="84" t="s">
        <v>7</v>
      </c>
      <c r="L6" s="84" t="s">
        <v>8</v>
      </c>
      <c r="M6" s="84" t="s">
        <v>9</v>
      </c>
      <c r="N6" s="84" t="s">
        <v>10</v>
      </c>
      <c r="O6" s="84" t="s">
        <v>11</v>
      </c>
      <c r="P6" s="84" t="s">
        <v>12</v>
      </c>
      <c r="Q6" s="84" t="s">
        <v>13</v>
      </c>
      <c r="R6" s="84" t="s">
        <v>14</v>
      </c>
      <c r="S6" s="84" t="s">
        <v>15</v>
      </c>
      <c r="T6" s="84" t="s">
        <v>16</v>
      </c>
      <c r="U6" s="84" t="s">
        <v>17</v>
      </c>
      <c r="V6" s="84" t="s">
        <v>18</v>
      </c>
      <c r="W6" s="84" t="s">
        <v>19</v>
      </c>
      <c r="X6" s="84" t="s">
        <v>20</v>
      </c>
      <c r="Y6" s="84" t="s">
        <v>21</v>
      </c>
      <c r="Z6" s="84" t="s">
        <v>22</v>
      </c>
      <c r="AA6" s="84" t="s">
        <v>23</v>
      </c>
      <c r="AB6" s="84" t="s">
        <v>24</v>
      </c>
      <c r="AC6" s="84" t="s">
        <v>25</v>
      </c>
      <c r="AD6" s="84" t="s">
        <v>26</v>
      </c>
      <c r="AE6" s="84" t="s">
        <v>27</v>
      </c>
      <c r="AF6" s="84" t="s">
        <v>28</v>
      </c>
      <c r="AG6" s="84" t="s">
        <v>29</v>
      </c>
      <c r="AH6" s="84" t="s">
        <v>30</v>
      </c>
      <c r="AI6" s="95" t="s">
        <v>37</v>
      </c>
      <c r="AJ6" s="86" t="s">
        <v>39</v>
      </c>
      <c r="AK6" s="87" t="s">
        <v>38</v>
      </c>
      <c r="AL6" s="88" t="s">
        <v>31</v>
      </c>
      <c r="AM6" s="91" t="s">
        <v>40</v>
      </c>
    </row>
    <row r="7" spans="1:39" ht="16.5" customHeight="1" thickTop="1" thickBot="1" x14ac:dyDescent="0.3">
      <c r="B7" s="96"/>
      <c r="C7" s="97" t="str">
        <f>IFERROR(VLOOKUP(PresençaemJulho[[#This Row],[ID do Aluno]],ListadeAlunos[],18,FALSE),"")</f>
        <v/>
      </c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9"/>
      <c r="AG7" s="84"/>
      <c r="AH7" s="84"/>
      <c r="AI7" s="100">
        <f>COUNTIF(PresençaemJulho[[#This Row],[1]:[31]],Código1)</f>
        <v>0</v>
      </c>
      <c r="AJ7" s="100">
        <f>COUNTIF(PresençaemJulho[[#This Row],[1]:[31]],Código2)</f>
        <v>0</v>
      </c>
      <c r="AK7" s="100">
        <f>COUNTIF(PresençaemJulho[[#This Row],[1]:[31]],Código3)</f>
        <v>0</v>
      </c>
      <c r="AL7" s="100">
        <f>COUNTIF(PresençaemJulho[[#This Row],[1]:[31]],Código4)</f>
        <v>0</v>
      </c>
      <c r="AM7" s="93">
        <f>SUM(PresençaemJulho[[#This Row],[E]:[U]])</f>
        <v>0</v>
      </c>
    </row>
    <row r="8" spans="1:39" ht="16.5" customHeight="1" thickTop="1" thickBot="1" x14ac:dyDescent="0.3">
      <c r="B8" s="96"/>
      <c r="C8" s="101" t="str">
        <f>IFERROR(VLOOKUP(PresençaemJulho[[#This Row],[ID do Aluno]],ListadeAlunos[],18,FALSE),"")</f>
        <v/>
      </c>
      <c r="D8" s="98"/>
      <c r="E8" s="98"/>
      <c r="F8" s="98"/>
      <c r="G8" s="98" t="s">
        <v>131</v>
      </c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9"/>
      <c r="AG8" s="84"/>
      <c r="AH8" s="84"/>
      <c r="AI8" s="100">
        <f>COUNTIF(PresençaemJulho[[#This Row],[1]:[31]],Código1)</f>
        <v>1</v>
      </c>
      <c r="AJ8" s="100">
        <f>COUNTIF(PresençaemJulho[[#This Row],[1]:[31]],Código2)</f>
        <v>0</v>
      </c>
      <c r="AK8" s="100">
        <f>COUNTIF(PresençaemJulho[[#This Row],[1]:[31]],Código3)</f>
        <v>0</v>
      </c>
      <c r="AL8" s="100">
        <f>COUNTIF(PresençaemJulho[[#This Row],[1]:[31]],Código4)</f>
        <v>0</v>
      </c>
      <c r="AM8" s="93">
        <f>SUM(PresençaemJulho[[#This Row],[E]:[U]])</f>
        <v>0</v>
      </c>
    </row>
    <row r="9" spans="1:39" ht="16.5" customHeight="1" thickTop="1" thickBot="1" x14ac:dyDescent="0.3">
      <c r="B9" s="96"/>
      <c r="C9" s="101" t="str">
        <f>IFERROR(VLOOKUP(PresençaemJulho[[#This Row],[ID do Aluno]],ListadeAlunos[],18,FALSE),"")</f>
        <v/>
      </c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9"/>
      <c r="AG9" s="84"/>
      <c r="AH9" s="84"/>
      <c r="AI9" s="100">
        <f>COUNTIF(PresençaemJulho[[#This Row],[1]:[31]],Código1)</f>
        <v>0</v>
      </c>
      <c r="AJ9" s="100">
        <f>COUNTIF(PresençaemJulho[[#This Row],[1]:[31]],Código2)</f>
        <v>0</v>
      </c>
      <c r="AK9" s="100">
        <f>COUNTIF(PresençaemJulho[[#This Row],[1]:[31]],Código3)</f>
        <v>0</v>
      </c>
      <c r="AL9" s="100">
        <f>COUNTIF(PresençaemJulho[[#This Row],[1]:[31]],Código4)</f>
        <v>0</v>
      </c>
      <c r="AM9" s="93">
        <f>SUM(PresençaemJulho[[#This Row],[E]:[U]])</f>
        <v>0</v>
      </c>
    </row>
    <row r="10" spans="1:39" ht="16.5" customHeight="1" thickTop="1" thickBot="1" x14ac:dyDescent="0.3">
      <c r="B10" s="96"/>
      <c r="C10" s="101" t="str">
        <f>IFERROR(VLOOKUP(PresençaemJulho[[#This Row],[ID do Aluno]],ListadeAlunos[],18,FALSE),"")</f>
        <v/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9"/>
      <c r="AG10" s="84"/>
      <c r="AH10" s="84"/>
      <c r="AI10" s="100">
        <f>COUNTIF(PresençaemJulho[[#This Row],[1]:[31]],Código1)</f>
        <v>0</v>
      </c>
      <c r="AJ10" s="100">
        <f>COUNTIF(PresençaemJulho[[#This Row],[1]:[31]],Código2)</f>
        <v>0</v>
      </c>
      <c r="AK10" s="100">
        <f>COUNTIF(PresençaemJulho[[#This Row],[1]:[31]],Código3)</f>
        <v>0</v>
      </c>
      <c r="AL10" s="100">
        <f>COUNTIF(PresençaemJulho[[#This Row],[1]:[31]],Código4)</f>
        <v>0</v>
      </c>
      <c r="AM10" s="93">
        <f>SUM(PresençaemJulho[[#This Row],[E]:[U]])</f>
        <v>0</v>
      </c>
    </row>
    <row r="11" spans="1:39" ht="16.5" customHeight="1" thickTop="1" thickBot="1" x14ac:dyDescent="0.3">
      <c r="B11" s="96"/>
      <c r="C11" s="101" t="str">
        <f>IFERROR(VLOOKUP(PresençaemJulho[[#This Row],[ID do Aluno]],ListadeAlunos[],18,FALSE),"")</f>
        <v/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9"/>
      <c r="AG11" s="84"/>
      <c r="AH11" s="84"/>
      <c r="AI11" s="100">
        <f>COUNTIF(PresençaemJulho[[#This Row],[1]:[31]],Código1)</f>
        <v>0</v>
      </c>
      <c r="AJ11" s="100">
        <f>COUNTIF(PresençaemJulho[[#This Row],[1]:[31]],Código2)</f>
        <v>0</v>
      </c>
      <c r="AK11" s="100">
        <f>COUNTIF(PresençaemJulho[[#This Row],[1]:[31]],Código3)</f>
        <v>0</v>
      </c>
      <c r="AL11" s="100">
        <f>COUNTIF(PresençaemJulho[[#This Row],[1]:[31]],Código4)</f>
        <v>0</v>
      </c>
      <c r="AM11" s="93">
        <f>SUM(PresençaemJulho[[#This Row],[E]:[U]])</f>
        <v>0</v>
      </c>
    </row>
    <row r="12" spans="1:39" ht="16.5" customHeight="1" thickTop="1" thickBot="1" x14ac:dyDescent="0.3">
      <c r="B12" s="84"/>
      <c r="C12" s="89" t="s">
        <v>114</v>
      </c>
      <c r="D12" s="93">
        <f>COUNTIF(PresençaemJulho[1],"U")+COUNTIF(PresençaemJulho[1],"E")</f>
        <v>0</v>
      </c>
      <c r="E12" s="93">
        <f>COUNTIF(PresençaemJulho[2],"U")+COUNTIF(PresençaemJulho[2],"E")</f>
        <v>0</v>
      </c>
      <c r="F12" s="93">
        <f>COUNTIF(PresençaemJulho[3],"U")+COUNTIF(PresençaemJulho[3],"E")</f>
        <v>0</v>
      </c>
      <c r="G12" s="93">
        <f>COUNTIF(PresençaemJulho[4],"U")+COUNTIF(PresençaemJulho[4],"E")</f>
        <v>0</v>
      </c>
      <c r="H12" s="93">
        <f>COUNTIF(PresençaemJulho[5],"U")+COUNTIF(PresençaemJulho[5],"E")</f>
        <v>0</v>
      </c>
      <c r="I12" s="93">
        <f>COUNTIF(PresençaemJulho[6],"U")+COUNTIF(PresençaemJulho[6],"E")</f>
        <v>0</v>
      </c>
      <c r="J12" s="93">
        <f>COUNTIF(PresençaemJulho[7],"U")+COUNTIF(PresençaemJulho[7],"E")</f>
        <v>0</v>
      </c>
      <c r="K12" s="93">
        <f>COUNTIF(PresençaemJulho[8],"U")+COUNTIF(PresençaemJulho[8],"E")</f>
        <v>0</v>
      </c>
      <c r="L12" s="93">
        <f>COUNTIF(PresençaemJulho[9],"U")+COUNTIF(PresençaemJulho[9],"E")</f>
        <v>0</v>
      </c>
      <c r="M12" s="93">
        <f>COUNTIF(PresençaemJulho[10],"U")+COUNTIF(PresençaemJulho[10],"E")</f>
        <v>0</v>
      </c>
      <c r="N12" s="93">
        <f>COUNTIF(PresençaemJulho[11],"U")+COUNTIF(PresençaemJulho[11],"E")</f>
        <v>0</v>
      </c>
      <c r="O12" s="93">
        <f>COUNTIF(PresençaemJulho[12],"U")+COUNTIF(PresençaemJulho[12],"E")</f>
        <v>0</v>
      </c>
      <c r="P12" s="93">
        <f>COUNTIF(PresençaemJulho[13],"U")+COUNTIF(PresençaemJulho[13],"E")</f>
        <v>0</v>
      </c>
      <c r="Q12" s="93">
        <f>COUNTIF(PresençaemJulho[14],"U")+COUNTIF(PresençaemJulho[14],"E")</f>
        <v>0</v>
      </c>
      <c r="R12" s="93">
        <f>COUNTIF(PresençaemJulho[15],"U")+COUNTIF(PresençaemJulho[15],"E")</f>
        <v>0</v>
      </c>
      <c r="S12" s="93">
        <f>COUNTIF(PresençaemJulho[16],"U")+COUNTIF(PresençaemJulho[16],"E")</f>
        <v>0</v>
      </c>
      <c r="T12" s="93">
        <f>COUNTIF(PresençaemJulho[17],"U")+COUNTIF(PresençaemJulho[17],"E")</f>
        <v>0</v>
      </c>
      <c r="U12" s="93">
        <f>COUNTIF(PresençaemJulho[18],"U")+COUNTIF(PresençaemJulho[18],"E")</f>
        <v>0</v>
      </c>
      <c r="V12" s="93">
        <f>COUNTIF(PresençaemJulho[19],"U")+COUNTIF(PresençaemJulho[19],"E")</f>
        <v>0</v>
      </c>
      <c r="W12" s="93">
        <f>COUNTIF(PresençaemJulho[20],"U")+COUNTIF(PresençaemJulho[20],"E")</f>
        <v>0</v>
      </c>
      <c r="X12" s="93">
        <f>COUNTIF(PresençaemJulho[21],"U")+COUNTIF(PresençaemJulho[21],"E")</f>
        <v>0</v>
      </c>
      <c r="Y12" s="93">
        <f>COUNTIF(PresençaemJulho[22],"U")+COUNTIF(PresençaemJulho[22],"E")</f>
        <v>0</v>
      </c>
      <c r="Z12" s="93">
        <f>COUNTIF(PresençaemJulho[23],"U")+COUNTIF(PresençaemJulho[23],"E")</f>
        <v>0</v>
      </c>
      <c r="AA12" s="93">
        <f>COUNTIF(PresençaemJulho[24],"U")+COUNTIF(PresençaemJulho[24],"E")</f>
        <v>0</v>
      </c>
      <c r="AB12" s="93">
        <f>COUNTIF(PresençaemJulho[25],"U")+COUNTIF(PresençaemJulho[25],"E")</f>
        <v>0</v>
      </c>
      <c r="AC12" s="93">
        <f>COUNTIF(PresençaemJulho[26],"U")+COUNTIF(PresençaemJulho[26],"E")</f>
        <v>0</v>
      </c>
      <c r="AD12" s="93">
        <f>COUNTIF(PresençaemJulho[27],"U")+COUNTIF(PresençaemJulho[27],"E")</f>
        <v>0</v>
      </c>
      <c r="AE12" s="93">
        <f>COUNTIF(PresençaemJulho[28],"U")+COUNTIF(PresençaemJulho[28],"E")</f>
        <v>0</v>
      </c>
      <c r="AF12" s="93">
        <f>COUNTIF(PresençaemJulho[29],"U")+COUNTIF(PresençaemJulho[29],"E")</f>
        <v>0</v>
      </c>
      <c r="AG12" s="93"/>
      <c r="AH12" s="93"/>
      <c r="AI12" s="93">
        <f>SUBTOTAL(109,PresençaemJulho[T])</f>
        <v>1</v>
      </c>
      <c r="AJ12" s="93">
        <f>SUBTOTAL(109,PresençaemJulho[E])</f>
        <v>0</v>
      </c>
      <c r="AK12" s="93">
        <f>SUBTOTAL(109,PresençaemJulho[U])</f>
        <v>0</v>
      </c>
      <c r="AL12" s="93">
        <f>SUBTOTAL(109,PresençaemJulho[P])</f>
        <v>0</v>
      </c>
      <c r="AM12" s="93">
        <f>SUBTOTAL(109,PresençaemJulho[Dias de Ausência])</f>
        <v>0</v>
      </c>
    </row>
    <row r="13" spans="1:39" ht="16.5" customHeight="1" thickTop="1" x14ac:dyDescent="0.25"/>
    <row r="14" spans="1:39" ht="16.5" customHeight="1" x14ac:dyDescent="0.25"/>
    <row r="15" spans="1:39" ht="16.5" customHeight="1" x14ac:dyDescent="0.25"/>
    <row r="16" spans="1:39" ht="16.5" customHeight="1" x14ac:dyDescent="0.25"/>
    <row r="17" ht="16.5" customHeight="1" x14ac:dyDescent="0.25"/>
    <row r="18" ht="16.5" customHeight="1" x14ac:dyDescent="0.25"/>
    <row r="19" ht="16.5" customHeight="1" x14ac:dyDescent="0.25"/>
    <row r="20" ht="16.5" customHeight="1" x14ac:dyDescent="0.25"/>
    <row r="21" ht="16.5" customHeight="1" x14ac:dyDescent="0.25"/>
    <row r="22" ht="16.5" customHeight="1" x14ac:dyDescent="0.25"/>
    <row r="23" ht="16.5" customHeight="1" x14ac:dyDescent="0.25"/>
    <row r="24" ht="16.5" customHeight="1" x14ac:dyDescent="0.25"/>
    <row r="25" ht="16.5" customHeight="1" x14ac:dyDescent="0.25"/>
    <row r="26" ht="16.5" customHeight="1" x14ac:dyDescent="0.25"/>
    <row r="27" ht="16.5" customHeight="1" x14ac:dyDescent="0.25"/>
    <row r="28" ht="16.5" customHeight="1" x14ac:dyDescent="0.25"/>
    <row r="29" ht="16.5" customHeight="1" x14ac:dyDescent="0.25"/>
    <row r="30" ht="16.5" customHeight="1" x14ac:dyDescent="0.25"/>
    <row r="31" ht="16.5" customHeight="1" x14ac:dyDescent="0.25"/>
    <row r="32" ht="16.5" customHeight="1" x14ac:dyDescent="0.25"/>
    <row r="33" ht="16.5" customHeight="1" x14ac:dyDescent="0.25"/>
    <row r="34" ht="16.5" customHeight="1" x14ac:dyDescent="0.25"/>
    <row r="35" ht="16.5" customHeight="1" x14ac:dyDescent="0.25"/>
    <row r="36" ht="16.5" customHeight="1" x14ac:dyDescent="0.25"/>
    <row r="37" ht="16.5" customHeight="1" x14ac:dyDescent="0.25"/>
    <row r="38" ht="16.5" customHeight="1" x14ac:dyDescent="0.25"/>
    <row r="39" ht="16.5" customHeight="1" x14ac:dyDescent="0.25"/>
    <row r="40" ht="16.5" customHeight="1" x14ac:dyDescent="0.25"/>
    <row r="41" ht="16.5" customHeight="1" x14ac:dyDescent="0.25"/>
    <row r="42" ht="16.5" customHeight="1" x14ac:dyDescent="0.25"/>
    <row r="43" ht="16.5" customHeight="1" x14ac:dyDescent="0.25"/>
    <row r="44" ht="16.5" customHeight="1" x14ac:dyDescent="0.25"/>
    <row r="45" ht="16.5" customHeight="1" x14ac:dyDescent="0.25"/>
    <row r="46" ht="16.5" customHeight="1" x14ac:dyDescent="0.25"/>
    <row r="47" ht="16.5" customHeight="1" x14ac:dyDescent="0.25"/>
    <row r="48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2" ht="16.5" customHeight="1" x14ac:dyDescent="0.25"/>
    <row r="63" ht="16.5" customHeight="1" x14ac:dyDescent="0.25"/>
    <row r="64" ht="16.5" customHeight="1" x14ac:dyDescent="0.25"/>
    <row r="65" ht="16.5" customHeight="1" x14ac:dyDescent="0.25"/>
    <row r="66" ht="16.5" customHeight="1" x14ac:dyDescent="0.25"/>
    <row r="67" ht="16.5" customHeight="1" x14ac:dyDescent="0.25"/>
    <row r="68" ht="16.5" customHeight="1" x14ac:dyDescent="0.25"/>
    <row r="69" ht="16.5" customHeight="1" x14ac:dyDescent="0.25"/>
    <row r="70" ht="16.5" customHeight="1" x14ac:dyDescent="0.25"/>
    <row r="71" ht="16.5" customHeight="1" x14ac:dyDescent="0.25"/>
    <row r="72" ht="16.5" customHeight="1" x14ac:dyDescent="0.25"/>
    <row r="73" ht="16.5" customHeight="1" x14ac:dyDescent="0.25"/>
    <row r="74" ht="16.5" customHeight="1" x14ac:dyDescent="0.25"/>
    <row r="75" ht="16.5" customHeight="1" x14ac:dyDescent="0.25"/>
    <row r="76" ht="16.5" customHeight="1" x14ac:dyDescent="0.25"/>
    <row r="77" ht="16.5" customHeight="1" x14ac:dyDescent="0.25"/>
    <row r="78" ht="16.5" customHeight="1" x14ac:dyDescent="0.25"/>
    <row r="79" ht="16.5" customHeight="1" x14ac:dyDescent="0.25"/>
    <row r="80" ht="16.5" customHeight="1" x14ac:dyDescent="0.25"/>
    <row r="81" ht="16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  <row r="87" ht="16.5" customHeight="1" x14ac:dyDescent="0.25"/>
    <row r="88" ht="16.5" customHeight="1" x14ac:dyDescent="0.25"/>
    <row r="89" ht="16.5" customHeight="1" x14ac:dyDescent="0.25"/>
    <row r="90" ht="16.5" customHeight="1" x14ac:dyDescent="0.25"/>
    <row r="91" ht="16.5" customHeight="1" x14ac:dyDescent="0.25"/>
    <row r="92" ht="16.5" customHeight="1" x14ac:dyDescent="0.25"/>
    <row r="93" ht="16.5" customHeight="1" x14ac:dyDescent="0.25"/>
    <row r="94" ht="16.5" customHeight="1" x14ac:dyDescent="0.25"/>
    <row r="95" ht="16.5" customHeight="1" x14ac:dyDescent="0.25"/>
    <row r="96" ht="16.5" customHeight="1" x14ac:dyDescent="0.25"/>
    <row r="97" ht="16.5" customHeight="1" x14ac:dyDescent="0.25"/>
    <row r="98" ht="16.5" customHeight="1" x14ac:dyDescent="0.25"/>
    <row r="99" ht="16.5" customHeight="1" x14ac:dyDescent="0.25"/>
    <row r="100" ht="16.5" customHeight="1" x14ac:dyDescent="0.25"/>
    <row r="101" ht="16.5" customHeight="1" x14ac:dyDescent="0.25"/>
    <row r="102" ht="16.5" customHeight="1" x14ac:dyDescent="0.25"/>
    <row r="103" ht="16.5" customHeight="1" x14ac:dyDescent="0.25"/>
    <row r="104" ht="16.5" customHeight="1" x14ac:dyDescent="0.25"/>
    <row r="105" ht="16.5" customHeight="1" x14ac:dyDescent="0.25"/>
    <row r="106" ht="16.5" customHeight="1" x14ac:dyDescent="0.25"/>
    <row r="107" ht="16.5" customHeight="1" x14ac:dyDescent="0.25"/>
    <row r="108" ht="16.5" customHeight="1" x14ac:dyDescent="0.25"/>
    <row r="109" ht="16.5" customHeight="1" x14ac:dyDescent="0.25"/>
    <row r="110" ht="16.5" customHeight="1" x14ac:dyDescent="0.25"/>
    <row r="111" ht="16.5" customHeight="1" x14ac:dyDescent="0.25"/>
    <row r="112" ht="16.5" customHeight="1" x14ac:dyDescent="0.25"/>
    <row r="113" ht="16.5" customHeight="1" x14ac:dyDescent="0.25"/>
    <row r="114" ht="16.5" customHeight="1" x14ac:dyDescent="0.25"/>
    <row r="115" ht="16.5" customHeight="1" x14ac:dyDescent="0.25"/>
    <row r="116" ht="16.5" customHeight="1" x14ac:dyDescent="0.25"/>
    <row r="117" ht="16.5" customHeight="1" x14ac:dyDescent="0.25"/>
    <row r="118" ht="16.5" customHeight="1" x14ac:dyDescent="0.25"/>
    <row r="119" ht="16.5" customHeight="1" x14ac:dyDescent="0.25"/>
    <row r="120" ht="16.5" customHeight="1" x14ac:dyDescent="0.25"/>
    <row r="121" ht="16.5" customHeight="1" x14ac:dyDescent="0.25"/>
    <row r="122" ht="16.5" customHeight="1" x14ac:dyDescent="0.25"/>
    <row r="123" ht="16.5" customHeight="1" x14ac:dyDescent="0.25"/>
    <row r="124" ht="16.5" customHeight="1" x14ac:dyDescent="0.25"/>
    <row r="125" ht="16.5" customHeight="1" x14ac:dyDescent="0.25"/>
    <row r="126" ht="16.5" customHeight="1" x14ac:dyDescent="0.25"/>
    <row r="127" ht="16.5" customHeight="1" x14ac:dyDescent="0.25"/>
    <row r="128" ht="16.5" customHeight="1" x14ac:dyDescent="0.25"/>
    <row r="129" ht="16.5" customHeight="1" x14ac:dyDescent="0.25"/>
    <row r="130" ht="16.5" customHeight="1" x14ac:dyDescent="0.25"/>
    <row r="131" ht="16.5" customHeight="1" x14ac:dyDescent="0.25"/>
    <row r="132" ht="16.5" customHeight="1" x14ac:dyDescent="0.25"/>
    <row r="133" ht="16.5" customHeight="1" x14ac:dyDescent="0.25"/>
    <row r="134" ht="16.5" customHeight="1" x14ac:dyDescent="0.25"/>
    <row r="135" ht="16.5" customHeight="1" x14ac:dyDescent="0.25"/>
    <row r="136" ht="16.5" customHeight="1" x14ac:dyDescent="0.25"/>
    <row r="137" ht="16.5" customHeight="1" x14ac:dyDescent="0.25"/>
    <row r="138" ht="16.5" customHeight="1" x14ac:dyDescent="0.25"/>
    <row r="139" ht="16.5" customHeight="1" x14ac:dyDescent="0.25"/>
    <row r="140" ht="16.5" customHeight="1" x14ac:dyDescent="0.25"/>
    <row r="141" ht="16.5" customHeight="1" x14ac:dyDescent="0.25"/>
    <row r="142" ht="16.5" customHeight="1" x14ac:dyDescent="0.25"/>
    <row r="143" ht="16.5" customHeight="1" x14ac:dyDescent="0.25"/>
    <row r="144" ht="16.5" customHeight="1" x14ac:dyDescent="0.25"/>
    <row r="145" ht="16.5" customHeight="1" x14ac:dyDescent="0.25"/>
    <row r="146" ht="16.5" customHeight="1" x14ac:dyDescent="0.25"/>
    <row r="147" ht="16.5" customHeight="1" x14ac:dyDescent="0.25"/>
    <row r="148" ht="16.5" customHeight="1" x14ac:dyDescent="0.25"/>
    <row r="149" ht="16.5" customHeight="1" x14ac:dyDescent="0.25"/>
    <row r="150" ht="16.5" customHeight="1" x14ac:dyDescent="0.25"/>
    <row r="151" ht="16.5" customHeight="1" x14ac:dyDescent="0.25"/>
    <row r="152" ht="16.5" customHeight="1" x14ac:dyDescent="0.25"/>
    <row r="153" ht="16.5" customHeight="1" x14ac:dyDescent="0.25"/>
    <row r="154" ht="16.5" customHeight="1" x14ac:dyDescent="0.25"/>
    <row r="155" ht="16.5" customHeight="1" x14ac:dyDescent="0.25"/>
    <row r="156" ht="16.5" customHeight="1" x14ac:dyDescent="0.25"/>
    <row r="157" ht="16.5" customHeight="1" x14ac:dyDescent="0.25"/>
    <row r="158" ht="16.5" customHeight="1" x14ac:dyDescent="0.25"/>
    <row r="159" ht="16.5" customHeight="1" x14ac:dyDescent="0.25"/>
    <row r="160" ht="16.5" customHeight="1" x14ac:dyDescent="0.25"/>
    <row r="161" ht="16.5" customHeight="1" x14ac:dyDescent="0.25"/>
    <row r="162" ht="16.5" customHeight="1" x14ac:dyDescent="0.25"/>
    <row r="163" ht="16.5" customHeight="1" x14ac:dyDescent="0.25"/>
    <row r="164" ht="16.5" customHeight="1" x14ac:dyDescent="0.25"/>
    <row r="165" ht="16.5" customHeight="1" x14ac:dyDescent="0.25"/>
    <row r="166" ht="16.5" customHeight="1" x14ac:dyDescent="0.25"/>
    <row r="167" ht="16.5" customHeight="1" x14ac:dyDescent="0.25"/>
    <row r="168" ht="16.5" customHeight="1" x14ac:dyDescent="0.25"/>
    <row r="169" ht="16.5" customHeight="1" x14ac:dyDescent="0.25"/>
    <row r="170" ht="16.5" customHeight="1" x14ac:dyDescent="0.25"/>
    <row r="171" ht="16.5" customHeight="1" x14ac:dyDescent="0.25"/>
    <row r="172" ht="16.5" customHeight="1" x14ac:dyDescent="0.25"/>
    <row r="173" ht="16.5" customHeight="1" x14ac:dyDescent="0.25"/>
    <row r="174" ht="16.5" customHeight="1" x14ac:dyDescent="0.25"/>
    <row r="175" ht="16.5" customHeight="1" x14ac:dyDescent="0.25"/>
    <row r="176" ht="16.5" customHeight="1" x14ac:dyDescent="0.25"/>
    <row r="177" ht="16.5" customHeight="1" x14ac:dyDescent="0.25"/>
    <row r="178" ht="16.5" customHeight="1" x14ac:dyDescent="0.25"/>
    <row r="179" ht="16.5" customHeight="1" x14ac:dyDescent="0.25"/>
    <row r="180" ht="16.5" customHeight="1" x14ac:dyDescent="0.25"/>
    <row r="181" ht="16.5" customHeight="1" x14ac:dyDescent="0.25"/>
    <row r="182" ht="16.5" customHeight="1" x14ac:dyDescent="0.25"/>
    <row r="183" ht="16.5" customHeight="1" x14ac:dyDescent="0.25"/>
    <row r="184" ht="16.5" customHeight="1" x14ac:dyDescent="0.25"/>
    <row r="185" ht="16.5" customHeight="1" x14ac:dyDescent="0.25"/>
    <row r="186" ht="16.5" customHeight="1" x14ac:dyDescent="0.25"/>
    <row r="187" ht="16.5" customHeight="1" x14ac:dyDescent="0.25"/>
    <row r="188" ht="16.5" customHeight="1" x14ac:dyDescent="0.25"/>
    <row r="189" ht="16.5" customHeight="1" x14ac:dyDescent="0.25"/>
    <row r="190" ht="16.5" customHeight="1" x14ac:dyDescent="0.25"/>
    <row r="191" ht="16.5" customHeight="1" x14ac:dyDescent="0.25"/>
    <row r="192" ht="16.5" customHeight="1" x14ac:dyDescent="0.25"/>
    <row r="193" ht="16.5" customHeight="1" x14ac:dyDescent="0.25"/>
    <row r="194" ht="16.5" customHeight="1" x14ac:dyDescent="0.25"/>
    <row r="195" ht="16.5" customHeight="1" x14ac:dyDescent="0.25"/>
    <row r="196" ht="16.5" customHeight="1" x14ac:dyDescent="0.25"/>
    <row r="197" ht="16.5" customHeight="1" x14ac:dyDescent="0.25"/>
    <row r="198" ht="16.5" customHeight="1" x14ac:dyDescent="0.25"/>
    <row r="199" ht="16.5" customHeight="1" x14ac:dyDescent="0.25"/>
    <row r="200" ht="16.5" customHeight="1" x14ac:dyDescent="0.25"/>
    <row r="201" ht="16.5" customHeight="1" x14ac:dyDescent="0.25"/>
    <row r="202" ht="16.5" customHeight="1" x14ac:dyDescent="0.25"/>
    <row r="203" ht="16.5" customHeight="1" x14ac:dyDescent="0.25"/>
    <row r="204" ht="16.5" customHeight="1" x14ac:dyDescent="0.25"/>
    <row r="205" ht="16.5" customHeight="1" x14ac:dyDescent="0.25"/>
    <row r="206" ht="16.5" customHeight="1" x14ac:dyDescent="0.25"/>
    <row r="207" ht="16.5" customHeight="1" x14ac:dyDescent="0.25"/>
    <row r="208" ht="16.5" customHeight="1" x14ac:dyDescent="0.25"/>
    <row r="209" ht="16.5" customHeight="1" x14ac:dyDescent="0.25"/>
    <row r="210" ht="16.5" customHeight="1" x14ac:dyDescent="0.25"/>
    <row r="211" ht="16.5" customHeight="1" x14ac:dyDescent="0.25"/>
    <row r="212" ht="16.5" customHeight="1" x14ac:dyDescent="0.25"/>
    <row r="213" ht="16.5" customHeight="1" x14ac:dyDescent="0.25"/>
    <row r="214" ht="16.5" customHeight="1" x14ac:dyDescent="0.25"/>
    <row r="215" ht="16.5" customHeight="1" x14ac:dyDescent="0.25"/>
    <row r="216" ht="16.5" customHeight="1" x14ac:dyDescent="0.25"/>
    <row r="217" ht="16.5" customHeight="1" x14ac:dyDescent="0.25"/>
    <row r="218" ht="16.5" customHeight="1" x14ac:dyDescent="0.25"/>
    <row r="219" ht="16.5" customHeight="1" x14ac:dyDescent="0.25"/>
    <row r="220" ht="16.5" customHeight="1" x14ac:dyDescent="0.25"/>
    <row r="221" ht="16.5" customHeight="1" x14ac:dyDescent="0.25"/>
    <row r="222" ht="16.5" customHeight="1" x14ac:dyDescent="0.25"/>
    <row r="223" ht="16.5" customHeight="1" x14ac:dyDescent="0.25"/>
    <row r="224" ht="16.5" customHeight="1" x14ac:dyDescent="0.25"/>
    <row r="225" ht="16.5" customHeight="1" x14ac:dyDescent="0.25"/>
    <row r="226" ht="16.5" customHeight="1" x14ac:dyDescent="0.25"/>
    <row r="227" ht="16.5" customHeight="1" x14ac:dyDescent="0.25"/>
    <row r="228" ht="16.5" customHeight="1" x14ac:dyDescent="0.25"/>
    <row r="229" ht="16.5" customHeight="1" x14ac:dyDescent="0.25"/>
    <row r="230" ht="16.5" customHeight="1" x14ac:dyDescent="0.25"/>
    <row r="231" ht="16.5" customHeight="1" x14ac:dyDescent="0.25"/>
    <row r="232" ht="16.5" customHeight="1" x14ac:dyDescent="0.25"/>
    <row r="233" ht="16.5" customHeight="1" x14ac:dyDescent="0.25"/>
    <row r="234" ht="16.5" customHeight="1" x14ac:dyDescent="0.25"/>
    <row r="235" ht="16.5" customHeight="1" x14ac:dyDescent="0.25"/>
    <row r="236" ht="16.5" customHeight="1" x14ac:dyDescent="0.25"/>
    <row r="237" ht="16.5" customHeight="1" x14ac:dyDescent="0.25"/>
    <row r="238" ht="16.5" customHeight="1" x14ac:dyDescent="0.25"/>
    <row r="239" ht="16.5" customHeight="1" x14ac:dyDescent="0.25"/>
    <row r="240" ht="16.5" customHeight="1" x14ac:dyDescent="0.25"/>
    <row r="241" ht="16.5" customHeight="1" x14ac:dyDescent="0.25"/>
    <row r="242" ht="16.5" customHeight="1" x14ac:dyDescent="0.25"/>
    <row r="243" ht="16.5" customHeight="1" x14ac:dyDescent="0.25"/>
    <row r="244" ht="16.5" customHeight="1" x14ac:dyDescent="0.25"/>
    <row r="245" ht="16.5" customHeight="1" x14ac:dyDescent="0.25"/>
    <row r="246" ht="16.5" customHeight="1" x14ac:dyDescent="0.25"/>
    <row r="247" ht="16.5" customHeight="1" x14ac:dyDescent="0.25"/>
    <row r="248" ht="16.5" customHeight="1" x14ac:dyDescent="0.25"/>
    <row r="249" ht="16.5" customHeight="1" x14ac:dyDescent="0.25"/>
    <row r="250" ht="16.5" customHeight="1" x14ac:dyDescent="0.25"/>
    <row r="251" ht="16.5" customHeight="1" x14ac:dyDescent="0.25"/>
    <row r="252" ht="16.5" customHeight="1" x14ac:dyDescent="0.25"/>
    <row r="253" ht="16.5" customHeight="1" x14ac:dyDescent="0.25"/>
    <row r="254" ht="16.5" customHeight="1" x14ac:dyDescent="0.25"/>
    <row r="255" ht="16.5" customHeight="1" x14ac:dyDescent="0.25"/>
    <row r="256" ht="16.5" customHeight="1" x14ac:dyDescent="0.25"/>
    <row r="257" ht="16.5" customHeight="1" x14ac:dyDescent="0.25"/>
    <row r="258" ht="16.5" customHeight="1" x14ac:dyDescent="0.25"/>
    <row r="259" ht="16.5" customHeight="1" x14ac:dyDescent="0.25"/>
    <row r="260" ht="16.5" customHeight="1" x14ac:dyDescent="0.25"/>
    <row r="261" ht="16.5" customHeight="1" x14ac:dyDescent="0.25"/>
    <row r="262" ht="16.5" customHeight="1" x14ac:dyDescent="0.25"/>
    <row r="263" ht="16.5" customHeight="1" x14ac:dyDescent="0.25"/>
    <row r="264" ht="16.5" customHeight="1" x14ac:dyDescent="0.25"/>
  </sheetData>
  <sheetProtection formatCells="0" formatColumns="0" formatRows="0" insertColumns="0" insertRows="0" insertHyperlinks="0" deleteColumns="0" deleteRows="0" sort="0" autoFilter="0" pivotTables="0"/>
  <mergeCells count="1">
    <mergeCell ref="AI5:AM5"/>
  </mergeCells>
  <conditionalFormatting sqref="D7:AF11">
    <cfRule type="expression" dxfId="10" priority="2" stopIfTrue="1">
      <formula>D7=Código2</formula>
    </cfRule>
    <cfRule type="expression" dxfId="9" priority="3" stopIfTrue="1">
      <formula>D7=Código5</formula>
    </cfRule>
    <cfRule type="expression" dxfId="8" priority="4" stopIfTrue="1">
      <formula>D7=Código4</formula>
    </cfRule>
    <cfRule type="expression" dxfId="7" priority="5" stopIfTrue="1">
      <formula>D7=Código3</formula>
    </cfRule>
    <cfRule type="expression" dxfId="6" priority="6" stopIfTrue="1">
      <formula>D7=Código1</formula>
    </cfRule>
  </conditionalFormatting>
  <conditionalFormatting sqref="AM7:AM11">
    <cfRule type="dataBar" priority="1">
      <dataBar>
        <cfvo type="min"/>
        <cfvo type="num" val="DATEDIF(DATE(AnoCalendário,2,1),DATE(AnoCalendário,3,1),&quot;d&quot;)"/>
        <color theme="4"/>
      </dataBar>
      <extLst>
        <ext xmlns:x14="http://schemas.microsoft.com/office/spreadsheetml/2009/9/main" uri="{B025F937-C7B1-47D3-B67F-A62EFF666E3E}">
          <x14:id>{9F36FAEC-C62D-409B-BB81-2770CD5BFB3E}</x14:id>
        </ext>
      </extLst>
    </cfRule>
  </conditionalFormatting>
  <dataValidations count="1">
    <dataValidation type="list" errorStyle="warning" allowBlank="1" showInputMessage="1" showErrorMessage="1" errorTitle="Ops!" error="A ID de Aluno que você inseriu não está na planilha Lista de Alunos. Você pode clicar em Sim para usar a ID de Aluno inserida, mas ela não estará disponível na planilha Relatório de Presença dos Alunos." sqref="B7:B11" xr:uid="{00000000-0002-0000-0E00-000000000000}">
      <formula1>IDAluno</formula1>
    </dataValidation>
  </dataValidations>
  <printOptions horizontalCentered="1"/>
  <pageMargins left="0.5" right="0.5" top="0.75" bottom="0.75" header="0.3" footer="0.3"/>
  <pageSetup paperSize="9" scale="59" fitToHeight="0" orientation="landscape" verticalDpi="1200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F36FAEC-C62D-409B-BB81-2770CD5BFB3E}">
            <x14:dataBar minLength="0" maxLength="100" border="1" negativeBarBorderColorSameAsPositive="0">
              <x14:cfvo type="autoMin"/>
              <x14:cfvo type="num">
                <xm:f>DATEDIF(DATE(AnoCalendário,2,1),DATE(AnoCalendário,3,1),"d")</xm:f>
              </x14:cfvo>
              <x14:borderColor theme="4"/>
              <x14:negativeFillColor rgb="FFFF0000"/>
              <x14:negativeBorderColor rgb="FFFF0000"/>
              <x14:axisColor rgb="FF000000"/>
            </x14:dataBar>
          </x14:cfRule>
          <xm:sqref>AM7:AM11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">
    <tabColor theme="5"/>
    <pageSetUpPr fitToPage="1"/>
  </sheetPr>
  <dimension ref="A1:AK40"/>
  <sheetViews>
    <sheetView showGridLines="0" zoomScaleNormal="100" workbookViewId="0">
      <selection activeCell="D4" sqref="D4:O4"/>
    </sheetView>
  </sheetViews>
  <sheetFormatPr defaultColWidth="9.109375" defaultRowHeight="13.2" x14ac:dyDescent="0.25"/>
  <cols>
    <col min="1" max="1" width="3.44140625" customWidth="1"/>
    <col min="2" max="2" width="15.6640625" bestFit="1" customWidth="1"/>
    <col min="3" max="18" width="3.33203125" customWidth="1"/>
    <col min="19" max="22" width="4.6640625" customWidth="1"/>
    <col min="23" max="33" width="3.33203125" customWidth="1"/>
    <col min="34" max="37" width="6.109375" customWidth="1"/>
  </cols>
  <sheetData>
    <row r="1" spans="1:37" ht="33" customHeight="1" x14ac:dyDescent="0.25">
      <c r="A1" s="52" t="str">
        <f>"Registro de Presença para "</f>
        <v xml:space="preserve">Registro de Presença para </v>
      </c>
      <c r="B1" s="26"/>
      <c r="C1" s="38"/>
      <c r="D1" s="38"/>
      <c r="E1" s="38"/>
      <c r="F1" s="38"/>
      <c r="G1" s="38"/>
      <c r="H1" s="38"/>
      <c r="I1" s="51" t="str">
        <f>D4</f>
        <v>Manuel Oliveira</v>
      </c>
      <c r="J1" s="26"/>
      <c r="K1" s="26"/>
      <c r="L1" s="26"/>
      <c r="M1" s="38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7"/>
    </row>
    <row r="2" spans="1:37" ht="15" customHeight="1" x14ac:dyDescent="0.25"/>
    <row r="3" spans="1:37" ht="17.25" customHeight="1" x14ac:dyDescent="0.25">
      <c r="B3" s="64" t="s">
        <v>34</v>
      </c>
      <c r="C3" s="65"/>
      <c r="D3" s="119" t="s">
        <v>36</v>
      </c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 t="s">
        <v>42</v>
      </c>
      <c r="Q3" s="119"/>
      <c r="R3" s="119"/>
      <c r="S3" s="119" t="s">
        <v>43</v>
      </c>
      <c r="T3" s="119"/>
      <c r="U3" s="119"/>
      <c r="V3" s="119"/>
      <c r="W3" s="119" t="s">
        <v>44</v>
      </c>
      <c r="X3" s="119"/>
      <c r="Y3" s="119"/>
      <c r="Z3" s="119"/>
      <c r="AA3" s="119"/>
      <c r="AB3" s="119"/>
      <c r="AC3" s="119"/>
      <c r="AD3" s="119"/>
      <c r="AE3" s="122" t="s">
        <v>45</v>
      </c>
      <c r="AF3" s="122"/>
      <c r="AG3" s="119" t="s">
        <v>46</v>
      </c>
      <c r="AH3" s="119"/>
      <c r="AI3" s="119"/>
      <c r="AJ3" s="119"/>
      <c r="AK3" s="73" t="s">
        <v>47</v>
      </c>
    </row>
    <row r="4" spans="1:37" ht="17.25" customHeight="1" x14ac:dyDescent="0.25">
      <c r="B4" s="117" t="s">
        <v>89</v>
      </c>
      <c r="C4" s="117"/>
      <c r="D4" s="118" t="str">
        <f>IFERROR(VLOOKUP(PesquisadeAlunos,ListadeAlunos[],18,FALSE),"")</f>
        <v>Manuel Oliveira</v>
      </c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25" t="str">
        <f>IFERROR(VLOOKUP(PesquisadeAlunos,ListadeAlunos[],4,FALSE),"")</f>
        <v>M</v>
      </c>
      <c r="Q4" s="125"/>
      <c r="R4" s="125"/>
      <c r="S4" s="126">
        <f>IFERROR(VLOOKUP(PesquisadeAlunos,ListadeAlunos[],5,FALSE),"")</f>
        <v>35517</v>
      </c>
      <c r="T4" s="126"/>
      <c r="U4" s="126"/>
      <c r="V4" s="126"/>
      <c r="W4" s="117" t="s">
        <v>95</v>
      </c>
      <c r="X4" s="117"/>
      <c r="Y4" s="117"/>
      <c r="Z4" s="117"/>
      <c r="AA4" s="117"/>
      <c r="AB4" s="117"/>
      <c r="AC4" s="117"/>
      <c r="AD4" s="117"/>
      <c r="AE4" s="123">
        <v>7</v>
      </c>
      <c r="AF4" s="123"/>
      <c r="AG4" s="117" t="s">
        <v>129</v>
      </c>
      <c r="AH4" s="117"/>
      <c r="AI4" s="117"/>
      <c r="AJ4" s="117"/>
      <c r="AK4" s="66">
        <v>123</v>
      </c>
    </row>
    <row r="5" spans="1:37" ht="17.25" customHeight="1" x14ac:dyDescent="0.25">
      <c r="B5" s="119" t="s">
        <v>81</v>
      </c>
      <c r="C5" s="119"/>
      <c r="D5" s="119"/>
      <c r="E5" s="119"/>
      <c r="F5" s="119"/>
      <c r="G5" s="119"/>
      <c r="H5" s="119"/>
      <c r="I5" s="119"/>
      <c r="J5" s="119"/>
      <c r="K5" s="119" t="s">
        <v>48</v>
      </c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 t="s">
        <v>49</v>
      </c>
      <c r="X5" s="119"/>
      <c r="Y5" s="119"/>
      <c r="Z5" s="119"/>
      <c r="AA5" s="119"/>
      <c r="AB5" s="119"/>
      <c r="AC5" s="119"/>
      <c r="AD5" s="119"/>
      <c r="AE5" s="119" t="s">
        <v>50</v>
      </c>
      <c r="AF5" s="119"/>
      <c r="AG5" s="119"/>
      <c r="AH5" s="119"/>
      <c r="AI5" s="119"/>
      <c r="AJ5" s="119"/>
      <c r="AK5" s="119"/>
    </row>
    <row r="6" spans="1:37" ht="17.25" customHeight="1" x14ac:dyDescent="0.25">
      <c r="B6" s="118" t="str">
        <f>IFERROR(VLOOKUP(PesquisadeAlunos,ListadeAlunos[],6,FALSE),"")</f>
        <v>Susana</v>
      </c>
      <c r="C6" s="118"/>
      <c r="D6" s="118"/>
      <c r="E6" s="118"/>
      <c r="F6" s="118"/>
      <c r="G6" s="118"/>
      <c r="H6" s="118"/>
      <c r="I6" s="118"/>
      <c r="J6" s="118"/>
      <c r="K6" s="118" t="str">
        <f>IFERROR(VLOOKUP(PesquisadeAlunos,ListadeAlunos[],7,FALSE),"")</f>
        <v>Oliveira</v>
      </c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24">
        <f>IFERROR(VLOOKUP(PesquisadeAlunos,ListadeAlunos[],8,FALSE),"")</f>
        <v>1235550134</v>
      </c>
      <c r="X6" s="124"/>
      <c r="Y6" s="124"/>
      <c r="Z6" s="124"/>
      <c r="AA6" s="124"/>
      <c r="AB6" s="124"/>
      <c r="AC6" s="124"/>
      <c r="AD6" s="124"/>
      <c r="AE6" s="124">
        <f>IFERROR(VLOOKUP(PesquisadeAlunos,ListadeAlunos[],9,FALSE),"")</f>
        <v>2345550134</v>
      </c>
      <c r="AF6" s="124"/>
      <c r="AG6" s="124"/>
      <c r="AH6" s="124"/>
      <c r="AI6" s="124"/>
      <c r="AJ6" s="124"/>
      <c r="AK6" s="124"/>
    </row>
    <row r="7" spans="1:37" ht="17.25" customHeight="1" x14ac:dyDescent="0.25">
      <c r="B7" s="119" t="s">
        <v>82</v>
      </c>
      <c r="C7" s="119"/>
      <c r="D7" s="119"/>
      <c r="E7" s="119"/>
      <c r="F7" s="119"/>
      <c r="G7" s="119"/>
      <c r="H7" s="119"/>
      <c r="I7" s="119"/>
      <c r="J7" s="119"/>
      <c r="K7" s="119" t="s">
        <v>48</v>
      </c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 t="s">
        <v>49</v>
      </c>
      <c r="X7" s="119"/>
      <c r="Y7" s="119"/>
      <c r="Z7" s="119"/>
      <c r="AA7" s="119"/>
      <c r="AB7" s="119"/>
      <c r="AC7" s="119"/>
      <c r="AD7" s="119"/>
      <c r="AE7" s="119" t="s">
        <v>50</v>
      </c>
      <c r="AF7" s="119"/>
      <c r="AG7" s="119"/>
      <c r="AH7" s="119"/>
      <c r="AI7" s="119"/>
      <c r="AJ7" s="119"/>
      <c r="AK7" s="119"/>
    </row>
    <row r="8" spans="1:37" ht="17.25" customHeight="1" x14ac:dyDescent="0.25">
      <c r="B8" s="118" t="str">
        <f>IFERROR(VLOOKUP(PesquisadeAlunos,ListadeAlunos[],10,FALSE),"")</f>
        <v>Michael Alexander</v>
      </c>
      <c r="C8" s="118"/>
      <c r="D8" s="118"/>
      <c r="E8" s="118"/>
      <c r="F8" s="118"/>
      <c r="G8" s="118"/>
      <c r="H8" s="118"/>
      <c r="I8" s="118"/>
      <c r="J8" s="118"/>
      <c r="K8" s="118" t="str">
        <f>IFERROR(VLOOKUP(PesquisadeAlunos,ListadeAlunos[],11,FALSE),"")</f>
        <v>Pai</v>
      </c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24" t="str">
        <f>IFERROR(VLOOKUP(PesquisadeAlunos,ListadeAlunos[],12,FALSE),"")</f>
        <v>(21) 123 45235</v>
      </c>
      <c r="X8" s="124"/>
      <c r="Y8" s="124"/>
      <c r="Z8" s="124"/>
      <c r="AA8" s="124"/>
      <c r="AB8" s="124"/>
      <c r="AC8" s="124"/>
      <c r="AD8" s="124"/>
      <c r="AE8" s="124">
        <f>IFERROR(VLOOKUP(PesquisadeAlunos,ListadeAlunos[],13,FALSE),"")</f>
        <v>2345550134</v>
      </c>
      <c r="AF8" s="124"/>
      <c r="AG8" s="124"/>
      <c r="AH8" s="124"/>
      <c r="AI8" s="124"/>
      <c r="AJ8" s="124"/>
      <c r="AK8" s="124"/>
    </row>
    <row r="9" spans="1:37" ht="17.25" customHeight="1" x14ac:dyDescent="0.25">
      <c r="B9" s="119" t="s">
        <v>51</v>
      </c>
      <c r="C9" s="119"/>
      <c r="D9" s="119"/>
      <c r="E9" s="119"/>
      <c r="F9" s="119"/>
      <c r="G9" s="119"/>
      <c r="H9" s="119"/>
      <c r="I9" s="119"/>
      <c r="J9" s="119"/>
      <c r="K9" s="119" t="s">
        <v>48</v>
      </c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 t="s">
        <v>49</v>
      </c>
      <c r="X9" s="119"/>
      <c r="Y9" s="119"/>
      <c r="Z9" s="119"/>
      <c r="AA9" s="119"/>
      <c r="AB9" s="119"/>
      <c r="AC9" s="119"/>
      <c r="AD9" s="119"/>
      <c r="AE9" s="119" t="s">
        <v>50</v>
      </c>
      <c r="AF9" s="119"/>
      <c r="AG9" s="119"/>
      <c r="AH9" s="119"/>
      <c r="AI9" s="119"/>
      <c r="AJ9" s="119"/>
      <c r="AK9" s="119"/>
    </row>
    <row r="10" spans="1:37" ht="17.25" customHeight="1" x14ac:dyDescent="0.25">
      <c r="B10" s="118" t="str">
        <f>IFERROR(VLOOKUP(PesquisadeAlunos,ListadeAlunos[],14,FALSE),"")</f>
        <v>Jordão Moreno</v>
      </c>
      <c r="C10" s="118"/>
      <c r="D10" s="118"/>
      <c r="E10" s="118"/>
      <c r="F10" s="118"/>
      <c r="G10" s="118"/>
      <c r="H10" s="118"/>
      <c r="I10" s="118"/>
      <c r="J10" s="118"/>
      <c r="K10" s="118" t="str">
        <f>IFERROR(VLOOKUP(PesquisadeAlunos,ListadeAlunos[],15,FALSE),"")</f>
        <v>Avô</v>
      </c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24">
        <f>IFERROR(VLOOKUP(PesquisadeAlunos,ListadeAlunos[],16,FALSE),"")</f>
        <v>7895550189</v>
      </c>
      <c r="X10" s="124"/>
      <c r="Y10" s="124"/>
      <c r="Z10" s="124"/>
      <c r="AA10" s="124"/>
      <c r="AB10" s="124"/>
      <c r="AC10" s="124"/>
      <c r="AD10" s="124"/>
      <c r="AE10" s="124">
        <f>IFERROR(VLOOKUP(PesquisadeAlunos,ListadeAlunos[],17,FALSE),"")</f>
        <v>7895550134</v>
      </c>
      <c r="AF10" s="124"/>
      <c r="AG10" s="124"/>
      <c r="AH10" s="124"/>
      <c r="AI10" s="124"/>
      <c r="AJ10" s="124"/>
      <c r="AK10" s="124"/>
    </row>
    <row r="11" spans="1:37" ht="10.5" customHeight="1" x14ac:dyDescent="0.25"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</row>
    <row r="12" spans="1:37" ht="15.75" customHeight="1" x14ac:dyDescent="0.25">
      <c r="B12" s="42" t="str">
        <f>Agosto!C3</f>
        <v xml:space="preserve">CHAVE COLORIDA </v>
      </c>
      <c r="C12" s="43" t="str">
        <f>Agosto!D3</f>
        <v>T</v>
      </c>
      <c r="D12" s="42" t="str">
        <f>Agosto!E3</f>
        <v>Atrasado</v>
      </c>
      <c r="E12" s="42"/>
      <c r="F12" s="42"/>
      <c r="G12" s="44" t="str">
        <f>Agosto!H3</f>
        <v>E</v>
      </c>
      <c r="H12" s="42" t="str">
        <f>Agosto!I3</f>
        <v>Dispensado</v>
      </c>
      <c r="I12" s="42"/>
      <c r="J12" s="42"/>
      <c r="K12" s="45" t="str">
        <f>Agosto!L3</f>
        <v>F</v>
      </c>
      <c r="L12" s="42" t="str">
        <f>Agosto!M3</f>
        <v>faltou a aula</v>
      </c>
      <c r="M12" s="42"/>
      <c r="N12" s="42"/>
      <c r="O12" s="42"/>
      <c r="P12" s="46" t="str">
        <f>Agosto!P3</f>
        <v>P</v>
      </c>
      <c r="Q12" s="42" t="str">
        <f>Agosto!Q3</f>
        <v>Presente</v>
      </c>
      <c r="R12" s="42"/>
      <c r="S12" s="42"/>
      <c r="T12" s="47" t="str">
        <f>Agosto!T3</f>
        <v>N</v>
      </c>
      <c r="U12" s="48" t="str">
        <f>Agosto!U3</f>
        <v>Sem Aula</v>
      </c>
      <c r="V12" s="49"/>
      <c r="W12" s="5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</row>
    <row r="13" spans="1:37" ht="6" customHeight="1" x14ac:dyDescent="0.25"/>
    <row r="14" spans="1:37" ht="16.5" customHeight="1" x14ac:dyDescent="0.25">
      <c r="B14" s="120" t="s">
        <v>87</v>
      </c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16" t="s">
        <v>58</v>
      </c>
      <c r="AI14" s="116"/>
      <c r="AJ14" s="116"/>
      <c r="AK14" s="116"/>
    </row>
    <row r="15" spans="1:37" ht="13.8" thickBot="1" x14ac:dyDescent="0.3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74" t="s">
        <v>37</v>
      </c>
      <c r="AI15" s="75" t="s">
        <v>39</v>
      </c>
      <c r="AJ15" s="76" t="s">
        <v>132</v>
      </c>
      <c r="AK15" s="77" t="s">
        <v>31</v>
      </c>
    </row>
    <row r="16" spans="1:37" x14ac:dyDescent="0.25">
      <c r="B16" s="115" t="s">
        <v>59</v>
      </c>
      <c r="C16" s="67">
        <v>1</v>
      </c>
      <c r="D16" s="67">
        <v>2</v>
      </c>
      <c r="E16" s="67">
        <v>3</v>
      </c>
      <c r="F16" s="67">
        <v>4</v>
      </c>
      <c r="G16" s="67">
        <v>5</v>
      </c>
      <c r="H16" s="67">
        <v>6</v>
      </c>
      <c r="I16" s="67">
        <v>7</v>
      </c>
      <c r="J16" s="67">
        <v>8</v>
      </c>
      <c r="K16" s="67">
        <v>9</v>
      </c>
      <c r="L16" s="67">
        <v>10</v>
      </c>
      <c r="M16" s="67">
        <v>11</v>
      </c>
      <c r="N16" s="67">
        <v>12</v>
      </c>
      <c r="O16" s="67">
        <v>13</v>
      </c>
      <c r="P16" s="67">
        <v>14</v>
      </c>
      <c r="Q16" s="67">
        <v>15</v>
      </c>
      <c r="R16" s="67">
        <v>16</v>
      </c>
      <c r="S16" s="67">
        <v>17</v>
      </c>
      <c r="T16" s="67">
        <v>18</v>
      </c>
      <c r="U16" s="67">
        <v>19</v>
      </c>
      <c r="V16" s="67">
        <v>20</v>
      </c>
      <c r="W16" s="67">
        <v>21</v>
      </c>
      <c r="X16" s="67">
        <v>22</v>
      </c>
      <c r="Y16" s="67">
        <v>23</v>
      </c>
      <c r="Z16" s="67">
        <v>24</v>
      </c>
      <c r="AA16" s="67">
        <v>25</v>
      </c>
      <c r="AB16" s="67">
        <v>26</v>
      </c>
      <c r="AC16" s="67">
        <v>27</v>
      </c>
      <c r="AD16" s="67">
        <v>28</v>
      </c>
      <c r="AE16" s="67">
        <v>29</v>
      </c>
      <c r="AF16" s="67">
        <v>30</v>
      </c>
      <c r="AG16" s="67">
        <v>31</v>
      </c>
      <c r="AH16" s="110">
        <f>COUNTIF($D17:$AH17,Código1)</f>
        <v>2</v>
      </c>
      <c r="AI16" s="110">
        <f>COUNTIF($D17:$AH17,Código2)</f>
        <v>1</v>
      </c>
      <c r="AJ16" s="110">
        <f>COUNTIF($D17:$AH17,Código3)</f>
        <v>0</v>
      </c>
      <c r="AK16" s="110">
        <f>COUNTIF($D17:$AH17,Código4)</f>
        <v>19</v>
      </c>
    </row>
    <row r="17" spans="2:37" x14ac:dyDescent="0.25">
      <c r="B17" s="112"/>
      <c r="C17" s="68" t="str">
        <f>IFERROR(VLOOKUP(PesquisadeAlunos,PresençaemAgosto[],3,FALSE),"")</f>
        <v>F</v>
      </c>
      <c r="D17" s="68" t="str">
        <f>IFERROR(VLOOKUP(PesquisadeAlunos,PresençaemAgosto[],4,FALSE),"")</f>
        <v>P</v>
      </c>
      <c r="E17" s="68" t="str">
        <f>IFERROR(VLOOKUP(PesquisadeAlunos,PresençaemAgosto[],5,FALSE),"")</f>
        <v>T</v>
      </c>
      <c r="F17" s="68" t="str">
        <f>IFERROR(VLOOKUP(PesquisadeAlunos,PresençaemAgosto[],6,FALSE),"")</f>
        <v>T</v>
      </c>
      <c r="G17" s="68" t="str">
        <f>IFERROR(VLOOKUP(PesquisadeAlunos,PresençaemAgosto[],7,FALSE),"")</f>
        <v>P</v>
      </c>
      <c r="H17" s="68" t="str">
        <f>IFERROR(VLOOKUP(PesquisadeAlunos,PresençaemAgosto[],8,FALSE),"")</f>
        <v>N</v>
      </c>
      <c r="I17" s="68" t="str">
        <f>IFERROR(VLOOKUP(PesquisadeAlunos,PresençaemAgosto[],9,FALSE),"")</f>
        <v>N</v>
      </c>
      <c r="J17" s="68" t="str">
        <f>IFERROR(VLOOKUP(PesquisadeAlunos,PresençaemAgosto[],10,FALSE),"")</f>
        <v>P</v>
      </c>
      <c r="K17" s="68" t="str">
        <f>IFERROR(VLOOKUP(PesquisadeAlunos,PresençaemAgosto[],11,FALSE),"")</f>
        <v>P</v>
      </c>
      <c r="L17" s="68" t="str">
        <f>IFERROR(VLOOKUP(PesquisadeAlunos,PresençaemAgosto[],12,FALSE),"")</f>
        <v>E</v>
      </c>
      <c r="M17" s="68" t="str">
        <f>IFERROR(VLOOKUP(PesquisadeAlunos,PresençaemAgosto[],13,FALSE),"")</f>
        <v>P</v>
      </c>
      <c r="N17" s="68" t="str">
        <f>IFERROR(VLOOKUP(PesquisadeAlunos,PresençaemAgosto[],14,FALSE),"")</f>
        <v>P</v>
      </c>
      <c r="O17" s="68" t="str">
        <f>IFERROR(VLOOKUP(PesquisadeAlunos,PresençaemAgosto[],15,FALSE),"")</f>
        <v>N</v>
      </c>
      <c r="P17" s="68" t="str">
        <f>IFERROR(VLOOKUP(PesquisadeAlunos,PresençaemAgosto[],16,FALSE),"")</f>
        <v>N</v>
      </c>
      <c r="Q17" s="68" t="str">
        <f>IFERROR(VLOOKUP(PesquisadeAlunos,PresençaemAgosto[],17,FALSE),"")</f>
        <v>P</v>
      </c>
      <c r="R17" s="68" t="str">
        <f>IFERROR(VLOOKUP(PesquisadeAlunos,PresençaemAgosto[],18,FALSE),"")</f>
        <v>P</v>
      </c>
      <c r="S17" s="68" t="str">
        <f>IFERROR(VLOOKUP(PesquisadeAlunos,PresençaemAgosto[],19,FALSE),"")</f>
        <v>P</v>
      </c>
      <c r="T17" s="68" t="str">
        <f>IFERROR(VLOOKUP(PesquisadeAlunos,PresençaemAgosto[],20,FALSE),"")</f>
        <v>P</v>
      </c>
      <c r="U17" s="68" t="str">
        <f>IFERROR(VLOOKUP(PesquisadeAlunos,PresençaemAgosto[],21,FALSE),"")</f>
        <v>P</v>
      </c>
      <c r="V17" s="68" t="str">
        <f>IFERROR(VLOOKUP(PesquisadeAlunos,PresençaemAgosto[],22,FALSE),"")</f>
        <v>N</v>
      </c>
      <c r="W17" s="68" t="str">
        <f>IFERROR(VLOOKUP(PesquisadeAlunos,PresençaemAgosto[],23,FALSE),"")</f>
        <v>N</v>
      </c>
      <c r="X17" s="68" t="str">
        <f>IFERROR(VLOOKUP(PesquisadeAlunos,PresençaemAgosto[],24,FALSE),"")</f>
        <v>P</v>
      </c>
      <c r="Y17" s="68" t="str">
        <f>IFERROR(VLOOKUP(PesquisadeAlunos,PresençaemAgosto[],25,FALSE),"")</f>
        <v>P</v>
      </c>
      <c r="Z17" s="68" t="str">
        <f>IFERROR(VLOOKUP(PesquisadeAlunos,PresençaemAgosto[],26,FALSE),"")</f>
        <v>P</v>
      </c>
      <c r="AA17" s="68" t="str">
        <f>IFERROR(VLOOKUP(PesquisadeAlunos,PresençaemAgosto[],27,FALSE),"")</f>
        <v>P</v>
      </c>
      <c r="AB17" s="68" t="str">
        <f>IFERROR(VLOOKUP(PesquisadeAlunos,PresençaemAgosto[],28,FALSE),"")</f>
        <v>P</v>
      </c>
      <c r="AC17" s="68" t="str">
        <f>IFERROR(VLOOKUP(PesquisadeAlunos,PresençaemAgosto[],29,FALSE),"")</f>
        <v>N</v>
      </c>
      <c r="AD17" s="68" t="s">
        <v>71</v>
      </c>
      <c r="AE17" s="68" t="str">
        <f>IFERROR(VLOOKUP(PesquisadeAlunos,PresençaemAgosto[],31,FALSE),"")</f>
        <v>P</v>
      </c>
      <c r="AF17" s="68" t="str">
        <f>IFERROR(VLOOKUP(PesquisadeAlunos,PresençaemAgosto[],32,FALSE),"")</f>
        <v>P</v>
      </c>
      <c r="AG17" s="68" t="str">
        <f>IFERROR(VLOOKUP(PesquisadeAlunos,PresençaemAgosto[],33,FALSE),"")</f>
        <v>P</v>
      </c>
      <c r="AH17" s="113"/>
      <c r="AI17" s="113"/>
      <c r="AJ17" s="113"/>
      <c r="AK17" s="113"/>
    </row>
    <row r="18" spans="2:37" x14ac:dyDescent="0.25">
      <c r="B18" s="112" t="s">
        <v>60</v>
      </c>
      <c r="C18" s="69">
        <v>1</v>
      </c>
      <c r="D18" s="69">
        <v>2</v>
      </c>
      <c r="E18" s="69">
        <v>3</v>
      </c>
      <c r="F18" s="69">
        <v>4</v>
      </c>
      <c r="G18" s="69">
        <v>5</v>
      </c>
      <c r="H18" s="69">
        <v>6</v>
      </c>
      <c r="I18" s="69">
        <v>7</v>
      </c>
      <c r="J18" s="69">
        <v>8</v>
      </c>
      <c r="K18" s="69">
        <v>9</v>
      </c>
      <c r="L18" s="69">
        <v>10</v>
      </c>
      <c r="M18" s="69">
        <v>11</v>
      </c>
      <c r="N18" s="69">
        <v>12</v>
      </c>
      <c r="O18" s="69">
        <v>13</v>
      </c>
      <c r="P18" s="69">
        <v>14</v>
      </c>
      <c r="Q18" s="69">
        <v>15</v>
      </c>
      <c r="R18" s="69">
        <v>16</v>
      </c>
      <c r="S18" s="69">
        <v>17</v>
      </c>
      <c r="T18" s="69">
        <v>18</v>
      </c>
      <c r="U18" s="69">
        <v>19</v>
      </c>
      <c r="V18" s="69">
        <v>20</v>
      </c>
      <c r="W18" s="69">
        <v>21</v>
      </c>
      <c r="X18" s="69">
        <v>22</v>
      </c>
      <c r="Y18" s="69">
        <v>23</v>
      </c>
      <c r="Z18" s="69">
        <v>24</v>
      </c>
      <c r="AA18" s="69">
        <v>25</v>
      </c>
      <c r="AB18" s="69">
        <v>26</v>
      </c>
      <c r="AC18" s="69">
        <v>27</v>
      </c>
      <c r="AD18" s="69">
        <v>28</v>
      </c>
      <c r="AE18" s="69">
        <v>29</v>
      </c>
      <c r="AF18" s="69">
        <v>30</v>
      </c>
      <c r="AG18" s="69"/>
      <c r="AH18" s="113">
        <f>COUNTIF($D19:$AH19,Código1)</f>
        <v>0</v>
      </c>
      <c r="AI18" s="113">
        <f>COUNTIF($D19:$AH19,Código2)</f>
        <v>0</v>
      </c>
      <c r="AJ18" s="113">
        <f>COUNTIF($D19:$AH19,Código3)</f>
        <v>0</v>
      </c>
      <c r="AK18" s="113">
        <f>COUNTIF($D19:$AH19,Código4)</f>
        <v>0</v>
      </c>
    </row>
    <row r="19" spans="2:37" x14ac:dyDescent="0.25">
      <c r="B19" s="112"/>
      <c r="C19" s="68" t="str">
        <f>IFERROR(VLOOKUP(PesquisadeAlunos,PresençaemSetembro[],3,FALSE),"")</f>
        <v/>
      </c>
      <c r="D19" s="68" t="str">
        <f>IFERROR(VLOOKUP(PesquisadeAlunos,PresençaemSetembro[],4,FALSE),"")</f>
        <v/>
      </c>
      <c r="E19" s="68" t="str">
        <f>IFERROR(VLOOKUP(PesquisadeAlunos,PresençaemSetembro[],5,FALSE),"")</f>
        <v/>
      </c>
      <c r="F19" s="68" t="str">
        <f>IFERROR(VLOOKUP(PesquisadeAlunos,PresençaemSetembro[],6,FALSE),"")</f>
        <v/>
      </c>
      <c r="G19" s="68" t="str">
        <f>IFERROR(VLOOKUP(PesquisadeAlunos,PresençaemSetembro[],7,FALSE),"")</f>
        <v/>
      </c>
      <c r="H19" s="68" t="str">
        <f>IFERROR(VLOOKUP(PesquisadeAlunos,PresençaemSetembro[],8,FALSE),"")</f>
        <v/>
      </c>
      <c r="I19" s="68" t="str">
        <f>IFERROR(VLOOKUP(PesquisadeAlunos,PresençaemSetembro[],9,FALSE),"")</f>
        <v/>
      </c>
      <c r="J19" s="68" t="str">
        <f>IFERROR(VLOOKUP(PesquisadeAlunos,PresençaemSetembro[],10,FALSE),"")</f>
        <v/>
      </c>
      <c r="K19" s="68" t="str">
        <f>IFERROR(VLOOKUP(PesquisadeAlunos,PresençaemSetembro[],11,FALSE),"")</f>
        <v/>
      </c>
      <c r="L19" s="68" t="str">
        <f>IFERROR(VLOOKUP(PesquisadeAlunos,PresençaemSetembro[],12,FALSE),"")</f>
        <v/>
      </c>
      <c r="M19" s="68" t="str">
        <f>IFERROR(VLOOKUP(PesquisadeAlunos,PresençaemSetembro[],13,FALSE),"")</f>
        <v/>
      </c>
      <c r="N19" s="68" t="str">
        <f>IFERROR(VLOOKUP(PesquisadeAlunos,PresençaemSetembro[],14,FALSE),"")</f>
        <v/>
      </c>
      <c r="O19" s="68" t="str">
        <f>IFERROR(VLOOKUP(PesquisadeAlunos,PresençaemSetembro[],15,FALSE),"")</f>
        <v/>
      </c>
      <c r="P19" s="68" t="str">
        <f>IFERROR(VLOOKUP(PesquisadeAlunos,PresençaemSetembro[],16,FALSE),"")</f>
        <v/>
      </c>
      <c r="Q19" s="68" t="str">
        <f>IFERROR(VLOOKUP(PesquisadeAlunos,PresençaemSetembro[],17,FALSE),"")</f>
        <v/>
      </c>
      <c r="R19" s="68" t="str">
        <f>IFERROR(VLOOKUP(PesquisadeAlunos,PresençaemSetembro[],18,FALSE),"")</f>
        <v/>
      </c>
      <c r="S19" s="68" t="str">
        <f>IFERROR(VLOOKUP(PesquisadeAlunos,PresençaemSetembro[],19,FALSE),"")</f>
        <v/>
      </c>
      <c r="T19" s="68" t="str">
        <f>IFERROR(VLOOKUP(PesquisadeAlunos,PresençaemSetembro[],20,FALSE),"")</f>
        <v/>
      </c>
      <c r="U19" s="68" t="str">
        <f>IFERROR(VLOOKUP(PesquisadeAlunos,PresençaemSetembro[],21,FALSE),"")</f>
        <v/>
      </c>
      <c r="V19" s="68" t="str">
        <f>IFERROR(VLOOKUP(PesquisadeAlunos,PresençaemSetembro[],22,FALSE),"")</f>
        <v/>
      </c>
      <c r="W19" s="68" t="str">
        <f>IFERROR(VLOOKUP(PesquisadeAlunos,PresençaemSetembro[],23,FALSE),"")</f>
        <v/>
      </c>
      <c r="X19" s="68" t="str">
        <f>IFERROR(VLOOKUP(PesquisadeAlunos,PresençaemSetembro[],24,FALSE),"")</f>
        <v/>
      </c>
      <c r="Y19" s="68" t="str">
        <f>IFERROR(VLOOKUP(PesquisadeAlunos,PresençaemSetembro[],25,FALSE),"")</f>
        <v/>
      </c>
      <c r="Z19" s="68" t="str">
        <f>IFERROR(VLOOKUP(PesquisadeAlunos,PresençaemSetembro[],26,FALSE),"")</f>
        <v/>
      </c>
      <c r="AA19" s="68" t="str">
        <f>IFERROR(VLOOKUP(PesquisadeAlunos,PresençaemSetembro[],27,FALSE),"")</f>
        <v/>
      </c>
      <c r="AB19" s="68" t="str">
        <f>IFERROR(VLOOKUP(PesquisadeAlunos,PresençaemSetembro[],28,FALSE),"")</f>
        <v/>
      </c>
      <c r="AC19" s="68" t="str">
        <f>IFERROR(VLOOKUP(PesquisadeAlunos,PresençaemSetembro[],29,FALSE),"")</f>
        <v/>
      </c>
      <c r="AD19" s="68" t="str">
        <f>IFERROR(VLOOKUP(PesquisadeAlunos,PresençaemSetembro[],30,FALSE),"")</f>
        <v/>
      </c>
      <c r="AE19" s="68" t="str">
        <f>IFERROR(VLOOKUP(PesquisadeAlunos,PresençaemSetembro[],31,FALSE),"")</f>
        <v/>
      </c>
      <c r="AF19" s="68" t="str">
        <f>IFERROR(VLOOKUP(PesquisadeAlunos,PresençaemSetembro[],32,FALSE),"")</f>
        <v/>
      </c>
      <c r="AG19" s="68"/>
      <c r="AH19" s="113"/>
      <c r="AI19" s="113"/>
      <c r="AJ19" s="113"/>
      <c r="AK19" s="113"/>
    </row>
    <row r="20" spans="2:37" x14ac:dyDescent="0.25">
      <c r="B20" s="112" t="s">
        <v>61</v>
      </c>
      <c r="C20" s="69">
        <v>1</v>
      </c>
      <c r="D20" s="69">
        <v>2</v>
      </c>
      <c r="E20" s="69">
        <v>3</v>
      </c>
      <c r="F20" s="69">
        <v>4</v>
      </c>
      <c r="G20" s="69">
        <v>5</v>
      </c>
      <c r="H20" s="69">
        <v>6</v>
      </c>
      <c r="I20" s="69">
        <v>7</v>
      </c>
      <c r="J20" s="69">
        <v>8</v>
      </c>
      <c r="K20" s="69">
        <v>9</v>
      </c>
      <c r="L20" s="69">
        <v>10</v>
      </c>
      <c r="M20" s="69">
        <v>11</v>
      </c>
      <c r="N20" s="69">
        <v>12</v>
      </c>
      <c r="O20" s="69">
        <v>13</v>
      </c>
      <c r="P20" s="69">
        <v>14</v>
      </c>
      <c r="Q20" s="69">
        <v>15</v>
      </c>
      <c r="R20" s="69">
        <v>16</v>
      </c>
      <c r="S20" s="69">
        <v>17</v>
      </c>
      <c r="T20" s="69">
        <v>18</v>
      </c>
      <c r="U20" s="69">
        <v>19</v>
      </c>
      <c r="V20" s="69">
        <v>20</v>
      </c>
      <c r="W20" s="69">
        <v>21</v>
      </c>
      <c r="X20" s="69">
        <v>22</v>
      </c>
      <c r="Y20" s="69">
        <v>23</v>
      </c>
      <c r="Z20" s="69">
        <v>24</v>
      </c>
      <c r="AA20" s="69">
        <v>25</v>
      </c>
      <c r="AB20" s="69">
        <v>26</v>
      </c>
      <c r="AC20" s="69">
        <v>27</v>
      </c>
      <c r="AD20" s="69">
        <v>28</v>
      </c>
      <c r="AE20" s="69">
        <v>29</v>
      </c>
      <c r="AF20" s="69">
        <v>30</v>
      </c>
      <c r="AG20" s="69">
        <v>31</v>
      </c>
      <c r="AH20" s="113">
        <f>COUNTIF($D21:$AH21,Código1)</f>
        <v>0</v>
      </c>
      <c r="AI20" s="113">
        <f>COUNTIF($D21:$AH21,Código2)</f>
        <v>0</v>
      </c>
      <c r="AJ20" s="113">
        <f>COUNTIF($D21:$AH21,Código3)</f>
        <v>0</v>
      </c>
      <c r="AK20" s="113">
        <f>COUNTIF($D21:$AH21,Código4)</f>
        <v>0</v>
      </c>
    </row>
    <row r="21" spans="2:37" x14ac:dyDescent="0.25">
      <c r="B21" s="112"/>
      <c r="C21" s="68" t="str">
        <f>IFERROR(VLOOKUP(PesquisadeAlunos,PresençaemOutubro[],3,FALSE),"")</f>
        <v/>
      </c>
      <c r="D21" s="68" t="str">
        <f>IFERROR(VLOOKUP(PesquisadeAlunos,PresençaemOutubro[],4,FALSE),"")</f>
        <v/>
      </c>
      <c r="E21" s="68" t="str">
        <f>IFERROR(VLOOKUP(PesquisadeAlunos,PresençaemOutubro[],5,FALSE),"")</f>
        <v/>
      </c>
      <c r="F21" s="68" t="str">
        <f>IFERROR(VLOOKUP(PesquisadeAlunos,PresençaemOutubro[],6,FALSE),"")</f>
        <v/>
      </c>
      <c r="G21" s="68" t="str">
        <f>IFERROR(VLOOKUP(PesquisadeAlunos,PresençaemOutubro[],7,FALSE),"")</f>
        <v/>
      </c>
      <c r="H21" s="68" t="str">
        <f>IFERROR(VLOOKUP(PesquisadeAlunos,PresençaemOutubro[],8,FALSE),"")</f>
        <v/>
      </c>
      <c r="I21" s="68" t="str">
        <f>IFERROR(VLOOKUP(PesquisadeAlunos,PresençaemOutubro[],9,FALSE),"")</f>
        <v/>
      </c>
      <c r="J21" s="68" t="str">
        <f>IFERROR(VLOOKUP(PesquisadeAlunos,PresençaemOutubro[],10,FALSE),"")</f>
        <v/>
      </c>
      <c r="K21" s="68" t="str">
        <f>IFERROR(VLOOKUP(PesquisadeAlunos,PresençaemOutubro[],11,FALSE),"")</f>
        <v/>
      </c>
      <c r="L21" s="68" t="str">
        <f>IFERROR(VLOOKUP(PesquisadeAlunos,PresençaemOutubro[],12,FALSE),"")</f>
        <v/>
      </c>
      <c r="M21" s="68" t="str">
        <f>IFERROR(VLOOKUP(PesquisadeAlunos,PresençaemOutubro[],13,FALSE),"")</f>
        <v/>
      </c>
      <c r="N21" s="68" t="str">
        <f>IFERROR(VLOOKUP(PesquisadeAlunos,PresençaemOutubro[],14,FALSE),"")</f>
        <v/>
      </c>
      <c r="O21" s="68" t="str">
        <f>IFERROR(VLOOKUP(PesquisadeAlunos,PresençaemOutubro[],15,FALSE),"")</f>
        <v/>
      </c>
      <c r="P21" s="68" t="str">
        <f>IFERROR(VLOOKUP(PesquisadeAlunos,PresençaemOutubro[],16,FALSE),"")</f>
        <v/>
      </c>
      <c r="Q21" s="68" t="str">
        <f>IFERROR(VLOOKUP(PesquisadeAlunos,PresençaemOutubro[],17,FALSE),"")</f>
        <v/>
      </c>
      <c r="R21" s="68" t="str">
        <f>IFERROR(VLOOKUP(PesquisadeAlunos,PresençaemOutubro[],18,FALSE),"")</f>
        <v/>
      </c>
      <c r="S21" s="68" t="str">
        <f>IFERROR(VLOOKUP(PesquisadeAlunos,PresençaemOutubro[],19,FALSE),"")</f>
        <v/>
      </c>
      <c r="T21" s="68" t="str">
        <f>IFERROR(VLOOKUP(PesquisadeAlunos,PresençaemOutubro[],20,FALSE),"")</f>
        <v/>
      </c>
      <c r="U21" s="68" t="str">
        <f>IFERROR(VLOOKUP(PesquisadeAlunos,PresençaemOutubro[],21,FALSE),"")</f>
        <v/>
      </c>
      <c r="V21" s="68" t="str">
        <f>IFERROR(VLOOKUP(PesquisadeAlunos,PresençaemOutubro[],22,FALSE),"")</f>
        <v/>
      </c>
      <c r="W21" s="68" t="str">
        <f>IFERROR(VLOOKUP(PesquisadeAlunos,PresençaemOutubro[],23,FALSE),"")</f>
        <v/>
      </c>
      <c r="X21" s="68" t="str">
        <f>IFERROR(VLOOKUP(PesquisadeAlunos,PresençaemOutubro[],24,FALSE),"")</f>
        <v/>
      </c>
      <c r="Y21" s="68" t="str">
        <f>IFERROR(VLOOKUP(PesquisadeAlunos,PresençaemOutubro[],25,FALSE),"")</f>
        <v/>
      </c>
      <c r="Z21" s="68" t="str">
        <f>IFERROR(VLOOKUP(PesquisadeAlunos,PresençaemOutubro[],26,FALSE),"")</f>
        <v/>
      </c>
      <c r="AA21" s="68" t="str">
        <f>IFERROR(VLOOKUP(PesquisadeAlunos,PresençaemOutubro[],27,FALSE),"")</f>
        <v/>
      </c>
      <c r="AB21" s="68" t="str">
        <f>IFERROR(VLOOKUP(PesquisadeAlunos,PresençaemOutubro[],28,FALSE),"")</f>
        <v/>
      </c>
      <c r="AC21" s="68" t="str">
        <f>IFERROR(VLOOKUP(PesquisadeAlunos,PresençaemOutubro[],29,FALSE),"")</f>
        <v/>
      </c>
      <c r="AD21" s="68" t="str">
        <f>IFERROR(VLOOKUP(PesquisadeAlunos,PresençaemOutubro[],30,FALSE),"")</f>
        <v/>
      </c>
      <c r="AE21" s="68" t="str">
        <f>IFERROR(VLOOKUP(PesquisadeAlunos,PresençaemOutubro[],31,FALSE),"")</f>
        <v/>
      </c>
      <c r="AF21" s="68" t="str">
        <f>IFERROR(VLOOKUP(PesquisadeAlunos,PresençaemOutubro[],32,FALSE),"")</f>
        <v/>
      </c>
      <c r="AG21" s="68" t="str">
        <f>IFERROR(VLOOKUP(PesquisadeAlunos,PresençaemOutubro[],33,FALSE),"")</f>
        <v/>
      </c>
      <c r="AH21" s="113"/>
      <c r="AI21" s="113"/>
      <c r="AJ21" s="113"/>
      <c r="AK21" s="113"/>
    </row>
    <row r="22" spans="2:37" x14ac:dyDescent="0.25">
      <c r="B22" s="112" t="s">
        <v>62</v>
      </c>
      <c r="C22" s="69">
        <v>1</v>
      </c>
      <c r="D22" s="69">
        <v>2</v>
      </c>
      <c r="E22" s="69">
        <v>3</v>
      </c>
      <c r="F22" s="69">
        <v>4</v>
      </c>
      <c r="G22" s="69">
        <v>5</v>
      </c>
      <c r="H22" s="69">
        <v>6</v>
      </c>
      <c r="I22" s="69">
        <v>7</v>
      </c>
      <c r="J22" s="69">
        <v>8</v>
      </c>
      <c r="K22" s="69">
        <v>9</v>
      </c>
      <c r="L22" s="69">
        <v>10</v>
      </c>
      <c r="M22" s="69">
        <v>11</v>
      </c>
      <c r="N22" s="69">
        <v>12</v>
      </c>
      <c r="O22" s="69">
        <v>13</v>
      </c>
      <c r="P22" s="69">
        <v>14</v>
      </c>
      <c r="Q22" s="69">
        <v>15</v>
      </c>
      <c r="R22" s="69">
        <v>16</v>
      </c>
      <c r="S22" s="69">
        <v>17</v>
      </c>
      <c r="T22" s="69">
        <v>18</v>
      </c>
      <c r="U22" s="69">
        <v>19</v>
      </c>
      <c r="V22" s="69">
        <v>20</v>
      </c>
      <c r="W22" s="69">
        <v>21</v>
      </c>
      <c r="X22" s="69">
        <v>22</v>
      </c>
      <c r="Y22" s="69">
        <v>23</v>
      </c>
      <c r="Z22" s="69">
        <v>24</v>
      </c>
      <c r="AA22" s="69">
        <v>25</v>
      </c>
      <c r="AB22" s="69">
        <v>26</v>
      </c>
      <c r="AC22" s="69">
        <v>27</v>
      </c>
      <c r="AD22" s="69">
        <v>28</v>
      </c>
      <c r="AE22" s="69">
        <v>29</v>
      </c>
      <c r="AF22" s="69">
        <v>30</v>
      </c>
      <c r="AG22" s="69"/>
      <c r="AH22" s="113">
        <f>COUNTIF($D23:$AH23,Código1)</f>
        <v>0</v>
      </c>
      <c r="AI22" s="113">
        <f>COUNTIF($D23:$AH23,Código2)</f>
        <v>0</v>
      </c>
      <c r="AJ22" s="113">
        <f>COUNTIF($D23:$AH23,Código3)</f>
        <v>0</v>
      </c>
      <c r="AK22" s="113">
        <f>COUNTIF($D23:$AH23,Código4)</f>
        <v>0</v>
      </c>
    </row>
    <row r="23" spans="2:37" x14ac:dyDescent="0.25">
      <c r="B23" s="112"/>
      <c r="C23" s="68" t="str">
        <f>IFERROR(VLOOKUP(PesquisadeAlunos,PresençaemNovembro[],3,FALSE),"")</f>
        <v/>
      </c>
      <c r="D23" s="68" t="str">
        <f>IFERROR(VLOOKUP(PesquisadeAlunos,PresençaemNovembro[],4,FALSE),"")</f>
        <v/>
      </c>
      <c r="E23" s="68" t="str">
        <f>IFERROR(VLOOKUP(PesquisadeAlunos,PresençaemNovembro[],5,FALSE),"")</f>
        <v/>
      </c>
      <c r="F23" s="68" t="str">
        <f>IFERROR(VLOOKUP(PesquisadeAlunos,PresençaemNovembro[],6,FALSE),"")</f>
        <v/>
      </c>
      <c r="G23" s="68" t="str">
        <f>IFERROR(VLOOKUP(PesquisadeAlunos,PresençaemNovembro[],7,FALSE),"")</f>
        <v/>
      </c>
      <c r="H23" s="68" t="str">
        <f>IFERROR(VLOOKUP(PesquisadeAlunos,PresençaemNovembro[],8,FALSE),"")</f>
        <v/>
      </c>
      <c r="I23" s="68" t="str">
        <f>IFERROR(VLOOKUP(PesquisadeAlunos,PresençaemNovembro[],9,FALSE),"")</f>
        <v/>
      </c>
      <c r="J23" s="68" t="str">
        <f>IFERROR(VLOOKUP(PesquisadeAlunos,PresençaemNovembro[],10,FALSE),"")</f>
        <v/>
      </c>
      <c r="K23" s="68" t="str">
        <f>IFERROR(VLOOKUP(PesquisadeAlunos,PresençaemNovembro[],11,FALSE),"")</f>
        <v/>
      </c>
      <c r="L23" s="68" t="str">
        <f>IFERROR(VLOOKUP(PesquisadeAlunos,PresençaemNovembro[],12,FALSE),"")</f>
        <v/>
      </c>
      <c r="M23" s="68" t="str">
        <f>IFERROR(VLOOKUP(PesquisadeAlunos,PresençaemNovembro[],13,FALSE),"")</f>
        <v/>
      </c>
      <c r="N23" s="68" t="str">
        <f>IFERROR(VLOOKUP(PesquisadeAlunos,PresençaemNovembro[],14,FALSE),"")</f>
        <v/>
      </c>
      <c r="O23" s="68" t="str">
        <f>IFERROR(VLOOKUP(PesquisadeAlunos,PresençaemNovembro[],15,FALSE),"")</f>
        <v/>
      </c>
      <c r="P23" s="68" t="str">
        <f>IFERROR(VLOOKUP(PesquisadeAlunos,PresençaemNovembro[],16,FALSE),"")</f>
        <v/>
      </c>
      <c r="Q23" s="68" t="str">
        <f>IFERROR(VLOOKUP(PesquisadeAlunos,PresençaemNovembro[],17,FALSE),"")</f>
        <v/>
      </c>
      <c r="R23" s="68" t="str">
        <f>IFERROR(VLOOKUP(PesquisadeAlunos,PresençaemNovembro[],18,FALSE),"")</f>
        <v/>
      </c>
      <c r="S23" s="68" t="str">
        <f>IFERROR(VLOOKUP(PesquisadeAlunos,PresençaemNovembro[],19,FALSE),"")</f>
        <v/>
      </c>
      <c r="T23" s="68" t="str">
        <f>IFERROR(VLOOKUP(PesquisadeAlunos,PresençaemNovembro[],20,FALSE),"")</f>
        <v/>
      </c>
      <c r="U23" s="68" t="str">
        <f>IFERROR(VLOOKUP(PesquisadeAlunos,PresençaemNovembro[],21,FALSE),"")</f>
        <v/>
      </c>
      <c r="V23" s="68" t="str">
        <f>IFERROR(VLOOKUP(PesquisadeAlunos,PresençaemNovembro[],22,FALSE),"")</f>
        <v/>
      </c>
      <c r="W23" s="68" t="str">
        <f>IFERROR(VLOOKUP(PesquisadeAlunos,PresençaemNovembro[],23,FALSE),"")</f>
        <v/>
      </c>
      <c r="X23" s="68" t="str">
        <f>IFERROR(VLOOKUP(PesquisadeAlunos,PresençaemNovembro[],24,FALSE),"")</f>
        <v/>
      </c>
      <c r="Y23" s="68" t="str">
        <f>IFERROR(VLOOKUP(PesquisadeAlunos,PresençaemNovembro[],25,FALSE),"")</f>
        <v/>
      </c>
      <c r="Z23" s="68" t="str">
        <f>IFERROR(VLOOKUP(PesquisadeAlunos,PresençaemNovembro[],26,FALSE),"")</f>
        <v/>
      </c>
      <c r="AA23" s="68" t="str">
        <f>IFERROR(VLOOKUP(PesquisadeAlunos,PresençaemNovembro[],27,FALSE),"")</f>
        <v/>
      </c>
      <c r="AB23" s="68" t="str">
        <f>IFERROR(VLOOKUP(PesquisadeAlunos,PresençaemNovembro[],28,FALSE),"")</f>
        <v/>
      </c>
      <c r="AC23" s="68" t="str">
        <f>IFERROR(VLOOKUP(PesquisadeAlunos,PresençaemNovembro[],29,FALSE),"")</f>
        <v/>
      </c>
      <c r="AD23" s="68" t="str">
        <f>IFERROR(VLOOKUP(PesquisadeAlunos,PresençaemNovembro[],30,FALSE),"")</f>
        <v/>
      </c>
      <c r="AE23" s="68" t="str">
        <f>IFERROR(VLOOKUP(PesquisadeAlunos,PresençaemNovembro[],31,FALSE),"")</f>
        <v/>
      </c>
      <c r="AF23" s="68" t="str">
        <f>IFERROR(VLOOKUP(PesquisadeAlunos,PresençaemNovembro[],32,FALSE),"")</f>
        <v/>
      </c>
      <c r="AG23" s="68"/>
      <c r="AH23" s="113"/>
      <c r="AI23" s="113"/>
      <c r="AJ23" s="113"/>
      <c r="AK23" s="113"/>
    </row>
    <row r="24" spans="2:37" x14ac:dyDescent="0.25">
      <c r="B24" s="112" t="s">
        <v>63</v>
      </c>
      <c r="C24" s="69">
        <v>1</v>
      </c>
      <c r="D24" s="69">
        <v>2</v>
      </c>
      <c r="E24" s="69">
        <v>3</v>
      </c>
      <c r="F24" s="69">
        <v>4</v>
      </c>
      <c r="G24" s="69">
        <v>5</v>
      </c>
      <c r="H24" s="69">
        <v>6</v>
      </c>
      <c r="I24" s="69">
        <v>7</v>
      </c>
      <c r="J24" s="69">
        <v>8</v>
      </c>
      <c r="K24" s="69">
        <v>9</v>
      </c>
      <c r="L24" s="69">
        <v>10</v>
      </c>
      <c r="M24" s="69">
        <v>11</v>
      </c>
      <c r="N24" s="69">
        <v>12</v>
      </c>
      <c r="O24" s="69">
        <v>13</v>
      </c>
      <c r="P24" s="69">
        <v>14</v>
      </c>
      <c r="Q24" s="69">
        <v>15</v>
      </c>
      <c r="R24" s="69">
        <v>16</v>
      </c>
      <c r="S24" s="69">
        <v>17</v>
      </c>
      <c r="T24" s="69">
        <v>18</v>
      </c>
      <c r="U24" s="69">
        <v>19</v>
      </c>
      <c r="V24" s="69">
        <v>20</v>
      </c>
      <c r="W24" s="69">
        <v>21</v>
      </c>
      <c r="X24" s="69">
        <v>22</v>
      </c>
      <c r="Y24" s="69">
        <v>23</v>
      </c>
      <c r="Z24" s="69">
        <v>24</v>
      </c>
      <c r="AA24" s="69">
        <v>25</v>
      </c>
      <c r="AB24" s="69">
        <v>26</v>
      </c>
      <c r="AC24" s="69">
        <v>27</v>
      </c>
      <c r="AD24" s="69">
        <v>28</v>
      </c>
      <c r="AE24" s="69">
        <v>29</v>
      </c>
      <c r="AF24" s="69">
        <v>30</v>
      </c>
      <c r="AG24" s="69">
        <v>31</v>
      </c>
      <c r="AH24" s="113">
        <f>COUNTIF($D25:$AH25,Código1)</f>
        <v>0</v>
      </c>
      <c r="AI24" s="113">
        <f>COUNTIF($D25:$AH25,Código2)</f>
        <v>0</v>
      </c>
      <c r="AJ24" s="113">
        <f>COUNTIF($D25:$AH25,Código3)</f>
        <v>0</v>
      </c>
      <c r="AK24" s="113">
        <f>COUNTIF($D25:$AH25,Código4)</f>
        <v>0</v>
      </c>
    </row>
    <row r="25" spans="2:37" x14ac:dyDescent="0.25">
      <c r="B25" s="112"/>
      <c r="C25" s="68" t="str">
        <f>IFERROR(VLOOKUP(PesquisadeAlunos,PresençaemDezembro[],3,FALSE),"")</f>
        <v/>
      </c>
      <c r="D25" s="68" t="str">
        <f>IFERROR(VLOOKUP(PesquisadeAlunos,PresençaemDezembro[],4,FALSE),"")</f>
        <v/>
      </c>
      <c r="E25" s="68" t="str">
        <f>IFERROR(VLOOKUP(PesquisadeAlunos,PresençaemDezembro[],5,FALSE),"")</f>
        <v/>
      </c>
      <c r="F25" s="68" t="str">
        <f>IFERROR(VLOOKUP(PesquisadeAlunos,PresençaemDezembro[],6,FALSE),"")</f>
        <v/>
      </c>
      <c r="G25" s="68" t="str">
        <f>IFERROR(VLOOKUP(PesquisadeAlunos,PresençaemDezembro[],7,FALSE),"")</f>
        <v/>
      </c>
      <c r="H25" s="68" t="str">
        <f>IFERROR(VLOOKUP(PesquisadeAlunos,PresençaemDezembro[],8,FALSE),"")</f>
        <v/>
      </c>
      <c r="I25" s="68" t="str">
        <f>IFERROR(VLOOKUP(PesquisadeAlunos,PresençaemDezembro[],9,FALSE),"")</f>
        <v/>
      </c>
      <c r="J25" s="68" t="str">
        <f>IFERROR(VLOOKUP(PesquisadeAlunos,PresençaemDezembro[],10,FALSE),"")</f>
        <v/>
      </c>
      <c r="K25" s="68" t="str">
        <f>IFERROR(VLOOKUP(PesquisadeAlunos,PresençaemDezembro[],11,FALSE),"")</f>
        <v/>
      </c>
      <c r="L25" s="68" t="str">
        <f>IFERROR(VLOOKUP(PesquisadeAlunos,PresençaemDezembro[],12,FALSE),"")</f>
        <v/>
      </c>
      <c r="M25" s="68" t="str">
        <f>IFERROR(VLOOKUP(PesquisadeAlunos,PresençaemDezembro[],13,FALSE),"")</f>
        <v/>
      </c>
      <c r="N25" s="68" t="str">
        <f>IFERROR(VLOOKUP(PesquisadeAlunos,PresençaemDezembro[],14,FALSE),"")</f>
        <v/>
      </c>
      <c r="O25" s="68" t="str">
        <f>IFERROR(VLOOKUP(PesquisadeAlunos,PresençaemDezembro[],15,FALSE),"")</f>
        <v/>
      </c>
      <c r="P25" s="68" t="str">
        <f>IFERROR(VLOOKUP(PesquisadeAlunos,PresençaemDezembro[],16,FALSE),"")</f>
        <v/>
      </c>
      <c r="Q25" s="68" t="str">
        <f>IFERROR(VLOOKUP(PesquisadeAlunos,PresençaemDezembro[],17,FALSE),"")</f>
        <v/>
      </c>
      <c r="R25" s="68" t="str">
        <f>IFERROR(VLOOKUP(PesquisadeAlunos,PresençaemDezembro[],18,FALSE),"")</f>
        <v/>
      </c>
      <c r="S25" s="68" t="str">
        <f>IFERROR(VLOOKUP(PesquisadeAlunos,PresençaemDezembro[],19,FALSE),"")</f>
        <v/>
      </c>
      <c r="T25" s="68" t="str">
        <f>IFERROR(VLOOKUP(PesquisadeAlunos,PresençaemDezembro[],20,FALSE),"")</f>
        <v/>
      </c>
      <c r="U25" s="68" t="str">
        <f>IFERROR(VLOOKUP(PesquisadeAlunos,PresençaemDezembro[],21,FALSE),"")</f>
        <v/>
      </c>
      <c r="V25" s="68" t="str">
        <f>IFERROR(VLOOKUP(PesquisadeAlunos,PresençaemDezembro[],22,FALSE),"")</f>
        <v/>
      </c>
      <c r="W25" s="68" t="str">
        <f>IFERROR(VLOOKUP(PesquisadeAlunos,PresençaemDezembro[],23,FALSE),"")</f>
        <v/>
      </c>
      <c r="X25" s="68" t="str">
        <f>IFERROR(VLOOKUP(PesquisadeAlunos,PresençaemDezembro[],24,FALSE),"")</f>
        <v/>
      </c>
      <c r="Y25" s="68" t="str">
        <f>IFERROR(VLOOKUP(PesquisadeAlunos,PresençaemDezembro[],25,FALSE),"")</f>
        <v/>
      </c>
      <c r="Z25" s="68" t="str">
        <f>IFERROR(VLOOKUP(PesquisadeAlunos,PresençaemDezembro[],26,FALSE),"")</f>
        <v/>
      </c>
      <c r="AA25" s="68" t="str">
        <f>IFERROR(VLOOKUP(PesquisadeAlunos,PresençaemDezembro[],27,FALSE),"")</f>
        <v/>
      </c>
      <c r="AB25" s="68" t="str">
        <f>IFERROR(VLOOKUP(PesquisadeAlunos,PresençaemDezembro[],28,FALSE),"")</f>
        <v/>
      </c>
      <c r="AC25" s="68" t="str">
        <f>IFERROR(VLOOKUP(PesquisadeAlunos,PresençaemDezembro[],29,FALSE),"")</f>
        <v/>
      </c>
      <c r="AD25" s="68" t="str">
        <f>IFERROR(VLOOKUP(PesquisadeAlunos,PresençaemDezembro[],30,FALSE),"")</f>
        <v/>
      </c>
      <c r="AE25" s="68" t="str">
        <f>IFERROR(VLOOKUP(PesquisadeAlunos,PresençaemDezembro[],31,FALSE),"")</f>
        <v/>
      </c>
      <c r="AF25" s="68" t="str">
        <f>IFERROR(VLOOKUP(PesquisadeAlunos,PresençaemDezembro[],32,FALSE),"")</f>
        <v/>
      </c>
      <c r="AG25" s="68" t="str">
        <f>IFERROR(VLOOKUP(PesquisadeAlunos,PresençaemDezembro[],33,FALSE),"")</f>
        <v/>
      </c>
      <c r="AH25" s="113"/>
      <c r="AI25" s="113"/>
      <c r="AJ25" s="113"/>
      <c r="AK25" s="113"/>
    </row>
    <row r="26" spans="2:37" x14ac:dyDescent="0.25">
      <c r="B26" s="112" t="s">
        <v>64</v>
      </c>
      <c r="C26" s="69">
        <v>1</v>
      </c>
      <c r="D26" s="69">
        <v>2</v>
      </c>
      <c r="E26" s="69">
        <v>3</v>
      </c>
      <c r="F26" s="69">
        <v>4</v>
      </c>
      <c r="G26" s="69">
        <v>5</v>
      </c>
      <c r="H26" s="69">
        <v>6</v>
      </c>
      <c r="I26" s="69">
        <v>7</v>
      </c>
      <c r="J26" s="69">
        <v>8</v>
      </c>
      <c r="K26" s="69">
        <v>9</v>
      </c>
      <c r="L26" s="69">
        <v>10</v>
      </c>
      <c r="M26" s="69">
        <v>11</v>
      </c>
      <c r="N26" s="69">
        <v>12</v>
      </c>
      <c r="O26" s="69">
        <v>13</v>
      </c>
      <c r="P26" s="69">
        <v>14</v>
      </c>
      <c r="Q26" s="69">
        <v>15</v>
      </c>
      <c r="R26" s="69">
        <v>16</v>
      </c>
      <c r="S26" s="69">
        <v>17</v>
      </c>
      <c r="T26" s="69">
        <v>18</v>
      </c>
      <c r="U26" s="69">
        <v>19</v>
      </c>
      <c r="V26" s="69">
        <v>20</v>
      </c>
      <c r="W26" s="69">
        <v>21</v>
      </c>
      <c r="X26" s="69">
        <v>22</v>
      </c>
      <c r="Y26" s="69">
        <v>23</v>
      </c>
      <c r="Z26" s="69">
        <v>24</v>
      </c>
      <c r="AA26" s="69">
        <v>25</v>
      </c>
      <c r="AB26" s="69">
        <v>26</v>
      </c>
      <c r="AC26" s="69">
        <v>27</v>
      </c>
      <c r="AD26" s="69">
        <v>28</v>
      </c>
      <c r="AE26" s="69">
        <v>29</v>
      </c>
      <c r="AF26" s="69">
        <v>30</v>
      </c>
      <c r="AG26" s="69">
        <v>31</v>
      </c>
      <c r="AH26" s="113">
        <f>COUNTIF($D27:$AH27,Código1)</f>
        <v>0</v>
      </c>
      <c r="AI26" s="113">
        <f>COUNTIF($D27:$AH27,Código2)</f>
        <v>0</v>
      </c>
      <c r="AJ26" s="113">
        <f>COUNTIF($D27:$AH27,Código3)</f>
        <v>0</v>
      </c>
      <c r="AK26" s="113">
        <f>COUNTIF($D27:$AH27,Código4)</f>
        <v>2</v>
      </c>
    </row>
    <row r="27" spans="2:37" x14ac:dyDescent="0.25">
      <c r="B27" s="112"/>
      <c r="C27" s="68" t="str">
        <f>IFERROR(VLOOKUP(PesquisadeAlunos,PresençaemJaneiro[],3,FALSE),"")</f>
        <v>N</v>
      </c>
      <c r="D27" s="68">
        <f>IFERROR(VLOOKUP(PesquisadeAlunos,PresençaemJaneiro[],4,FALSE),"")</f>
        <v>0</v>
      </c>
      <c r="E27" s="68" t="str">
        <f>IFERROR(VLOOKUP(PesquisadeAlunos,PresençaemJaneiro[],5,FALSE),"")</f>
        <v>p</v>
      </c>
      <c r="F27" s="68" t="str">
        <f>IFERROR(VLOOKUP(PesquisadeAlunos,PresençaemJaneiro[],6,FALSE),"")</f>
        <v>p</v>
      </c>
      <c r="G27" s="68">
        <f>IFERROR(VLOOKUP(PesquisadeAlunos,PresençaemJaneiro[],7,FALSE),"")</f>
        <v>0</v>
      </c>
      <c r="H27" s="68">
        <f>IFERROR(VLOOKUP(PesquisadeAlunos,PresençaemJaneiro[],8,FALSE),"")</f>
        <v>0</v>
      </c>
      <c r="I27" s="68">
        <f>IFERROR(VLOOKUP(PesquisadeAlunos,PresençaemJaneiro[],9,FALSE),"")</f>
        <v>0</v>
      </c>
      <c r="J27" s="68">
        <f>IFERROR(VLOOKUP(PesquisadeAlunos,PresençaemJaneiro[],10,FALSE),"")</f>
        <v>0</v>
      </c>
      <c r="K27" s="68">
        <f>IFERROR(VLOOKUP(PesquisadeAlunos,PresençaemJaneiro[],11,FALSE),"")</f>
        <v>0</v>
      </c>
      <c r="L27" s="68">
        <f>IFERROR(VLOOKUP(PesquisadeAlunos,PresençaemJaneiro[],12,FALSE),"")</f>
        <v>0</v>
      </c>
      <c r="M27" s="68">
        <f>IFERROR(VLOOKUP(PesquisadeAlunos,PresençaemJaneiro[],13,FALSE),"")</f>
        <v>0</v>
      </c>
      <c r="N27" s="68">
        <f>IFERROR(VLOOKUP(PesquisadeAlunos,PresençaemJaneiro[],14,FALSE),"")</f>
        <v>0</v>
      </c>
      <c r="O27" s="68">
        <f>IFERROR(VLOOKUP(PesquisadeAlunos,PresençaemJaneiro[],15,FALSE),"")</f>
        <v>0</v>
      </c>
      <c r="P27" s="68">
        <f>IFERROR(VLOOKUP(PesquisadeAlunos,PresençaemJaneiro[],16,FALSE),"")</f>
        <v>0</v>
      </c>
      <c r="Q27" s="68">
        <f>IFERROR(VLOOKUP(PesquisadeAlunos,PresençaemJaneiro[],17,FALSE),"")</f>
        <v>0</v>
      </c>
      <c r="R27" s="68">
        <f>IFERROR(VLOOKUP(PesquisadeAlunos,PresençaemJaneiro[],18,FALSE),"")</f>
        <v>0</v>
      </c>
      <c r="S27" s="68">
        <f>IFERROR(VLOOKUP(PesquisadeAlunos,PresençaemJaneiro[],19,FALSE),"")</f>
        <v>0</v>
      </c>
      <c r="T27" s="68">
        <f>IFERROR(VLOOKUP(PesquisadeAlunos,PresençaemJaneiro[],20,FALSE),"")</f>
        <v>0</v>
      </c>
      <c r="U27" s="68">
        <f>IFERROR(VLOOKUP(PesquisadeAlunos,PresençaemJaneiro[],21,FALSE),"")</f>
        <v>0</v>
      </c>
      <c r="V27" s="68">
        <f>IFERROR(VLOOKUP(PesquisadeAlunos,PresençaemJaneiro[],22,FALSE),"")</f>
        <v>0</v>
      </c>
      <c r="W27" s="68">
        <f>IFERROR(VLOOKUP(PesquisadeAlunos,PresençaemJaneiro[],23,FALSE),"")</f>
        <v>0</v>
      </c>
      <c r="X27" s="68">
        <f>IFERROR(VLOOKUP(PesquisadeAlunos,PresençaemJaneiro[],24,FALSE),"")</f>
        <v>0</v>
      </c>
      <c r="Y27" s="68">
        <f>IFERROR(VLOOKUP(PesquisadeAlunos,PresençaemJaneiro[],25,FALSE),"")</f>
        <v>0</v>
      </c>
      <c r="Z27" s="68">
        <f>IFERROR(VLOOKUP(PesquisadeAlunos,PresençaemJaneiro[],26,FALSE),"")</f>
        <v>0</v>
      </c>
      <c r="AA27" s="68">
        <f>IFERROR(VLOOKUP(PesquisadeAlunos,PresençaemJaneiro[],27,FALSE),"")</f>
        <v>0</v>
      </c>
      <c r="AB27" s="68">
        <f>IFERROR(VLOOKUP(PesquisadeAlunos,PresençaemJaneiro[],28,FALSE),"")</f>
        <v>0</v>
      </c>
      <c r="AC27" s="68">
        <f>IFERROR(VLOOKUP(PesquisadeAlunos,PresençaemJaneiro[],29,FALSE),"")</f>
        <v>0</v>
      </c>
      <c r="AD27" s="68">
        <f>IFERROR(VLOOKUP(PesquisadeAlunos,PresençaemJaneiro[],30,FALSE),"")</f>
        <v>0</v>
      </c>
      <c r="AE27" s="68">
        <f>IFERROR(VLOOKUP(PesquisadeAlunos,PresençaemJaneiro[],31,FALSE),"")</f>
        <v>0</v>
      </c>
      <c r="AF27" s="68">
        <f>IFERROR(VLOOKUP(PesquisadeAlunos,PresençaemJaneiro[],32,FALSE),"")</f>
        <v>0</v>
      </c>
      <c r="AG27" s="68">
        <f>IFERROR(VLOOKUP(PesquisadeAlunos,PresençaemJaneiro[],33,FALSE),"")</f>
        <v>0</v>
      </c>
      <c r="AH27" s="113"/>
      <c r="AI27" s="113"/>
      <c r="AJ27" s="113"/>
      <c r="AK27" s="113"/>
    </row>
    <row r="28" spans="2:37" x14ac:dyDescent="0.25">
      <c r="B28" s="112" t="s">
        <v>65</v>
      </c>
      <c r="C28" s="69">
        <v>1</v>
      </c>
      <c r="D28" s="69">
        <v>2</v>
      </c>
      <c r="E28" s="69">
        <v>3</v>
      </c>
      <c r="F28" s="69">
        <v>4</v>
      </c>
      <c r="G28" s="69">
        <v>5</v>
      </c>
      <c r="H28" s="69">
        <v>6</v>
      </c>
      <c r="I28" s="69">
        <v>7</v>
      </c>
      <c r="J28" s="69">
        <v>8</v>
      </c>
      <c r="K28" s="69">
        <v>9</v>
      </c>
      <c r="L28" s="69">
        <v>10</v>
      </c>
      <c r="M28" s="69">
        <v>11</v>
      </c>
      <c r="N28" s="69">
        <v>12</v>
      </c>
      <c r="O28" s="69">
        <v>13</v>
      </c>
      <c r="P28" s="69">
        <v>14</v>
      </c>
      <c r="Q28" s="69">
        <v>15</v>
      </c>
      <c r="R28" s="69">
        <v>16</v>
      </c>
      <c r="S28" s="69">
        <v>17</v>
      </c>
      <c r="T28" s="69">
        <v>18</v>
      </c>
      <c r="U28" s="69">
        <v>19</v>
      </c>
      <c r="V28" s="69">
        <v>20</v>
      </c>
      <c r="W28" s="69">
        <v>21</v>
      </c>
      <c r="X28" s="69">
        <v>22</v>
      </c>
      <c r="Y28" s="69">
        <v>23</v>
      </c>
      <c r="Z28" s="69">
        <v>24</v>
      </c>
      <c r="AA28" s="69">
        <v>25</v>
      </c>
      <c r="AB28" s="69">
        <v>26</v>
      </c>
      <c r="AC28" s="69">
        <v>27</v>
      </c>
      <c r="AD28" s="69">
        <v>28</v>
      </c>
      <c r="AE28" s="69">
        <v>29</v>
      </c>
      <c r="AF28" s="69"/>
      <c r="AG28" s="69"/>
      <c r="AH28" s="113">
        <f>COUNTIF($D29:$AH29,Código1)</f>
        <v>0</v>
      </c>
      <c r="AI28" s="113">
        <f>COUNTIF($D29:$AH29,Código2)</f>
        <v>0</v>
      </c>
      <c r="AJ28" s="113">
        <f>COUNTIF($D29:$AH29,Código3)</f>
        <v>2</v>
      </c>
      <c r="AK28" s="113">
        <f>COUNTIF($D29:$AH29,Código4)</f>
        <v>1</v>
      </c>
    </row>
    <row r="29" spans="2:37" x14ac:dyDescent="0.25">
      <c r="B29" s="112"/>
      <c r="C29" s="68" t="str">
        <f>IFERROR(VLOOKUP(PesquisadeAlunos,PresençaemFevereiro[],3,FALSE),"")</f>
        <v>p</v>
      </c>
      <c r="D29" s="68" t="str">
        <f>IFERROR(VLOOKUP(PesquisadeAlunos,PresençaemFevereiro[],4,FALSE),"")</f>
        <v>p</v>
      </c>
      <c r="E29" s="68" t="str">
        <f>IFERROR(VLOOKUP(PesquisadeAlunos,PresençaemFevereiro[],5,FALSE),"")</f>
        <v>f</v>
      </c>
      <c r="F29" s="68">
        <f>IFERROR(VLOOKUP(PesquisadeAlunos,PresençaemFevereiro[],6,FALSE),"")</f>
        <v>0</v>
      </c>
      <c r="G29" s="68">
        <f>IFERROR(VLOOKUP(PesquisadeAlunos,PresençaemFevereiro[],7,FALSE),"")</f>
        <v>0</v>
      </c>
      <c r="H29" s="68" t="str">
        <f>IFERROR(VLOOKUP(PesquisadeAlunos,PresençaemFevereiro[],8,FALSE),"")</f>
        <v>F</v>
      </c>
      <c r="I29" s="68">
        <f>IFERROR(VLOOKUP(PesquisadeAlunos,PresençaemFevereiro[],9,FALSE),"")</f>
        <v>0</v>
      </c>
      <c r="J29" s="68">
        <f>IFERROR(VLOOKUP(PesquisadeAlunos,PresençaemFevereiro[],10,FALSE),"")</f>
        <v>0</v>
      </c>
      <c r="K29" s="68">
        <f>IFERROR(VLOOKUP(PesquisadeAlunos,PresençaemFevereiro[],11,FALSE),"")</f>
        <v>0</v>
      </c>
      <c r="L29" s="68">
        <f>IFERROR(VLOOKUP(PesquisadeAlunos,PresençaemFevereiro[],12,FALSE),"")</f>
        <v>0</v>
      </c>
      <c r="M29" s="68">
        <f>IFERROR(VLOOKUP(PesquisadeAlunos,PresençaemFevereiro[],13,FALSE),"")</f>
        <v>0</v>
      </c>
      <c r="N29" s="68">
        <f>IFERROR(VLOOKUP(PesquisadeAlunos,PresençaemFevereiro[],14,FALSE),"")</f>
        <v>0</v>
      </c>
      <c r="O29" s="68">
        <f>IFERROR(VLOOKUP(PesquisadeAlunos,PresençaemFevereiro[],15,FALSE),"")</f>
        <v>0</v>
      </c>
      <c r="P29" s="68">
        <f>IFERROR(VLOOKUP(PesquisadeAlunos,PresençaemFevereiro[],16,FALSE),"")</f>
        <v>0</v>
      </c>
      <c r="Q29" s="68">
        <f>IFERROR(VLOOKUP(PesquisadeAlunos,PresençaemFevereiro[],17,FALSE),"")</f>
        <v>0</v>
      </c>
      <c r="R29" s="68">
        <f>IFERROR(VLOOKUP(PesquisadeAlunos,PresençaemFevereiro[],18,FALSE),"")</f>
        <v>0</v>
      </c>
      <c r="S29" s="68">
        <f>IFERROR(VLOOKUP(PesquisadeAlunos,PresençaemFevereiro[],19,FALSE),"")</f>
        <v>0</v>
      </c>
      <c r="T29" s="68">
        <f>IFERROR(VLOOKUP(PesquisadeAlunos,PresençaemFevereiro[],20,FALSE),"")</f>
        <v>0</v>
      </c>
      <c r="U29" s="68">
        <f>IFERROR(VLOOKUP(PesquisadeAlunos,PresençaemFevereiro[],21,FALSE),"")</f>
        <v>0</v>
      </c>
      <c r="V29" s="68">
        <f>IFERROR(VLOOKUP(PesquisadeAlunos,PresençaemFevereiro[],22,FALSE),"")</f>
        <v>0</v>
      </c>
      <c r="W29" s="68">
        <f>IFERROR(VLOOKUP(PesquisadeAlunos,PresençaemFevereiro[],23,FALSE),"")</f>
        <v>0</v>
      </c>
      <c r="X29" s="68">
        <f>IFERROR(VLOOKUP(PesquisadeAlunos,PresençaemFevereiro[],24,FALSE),"")</f>
        <v>0</v>
      </c>
      <c r="Y29" s="68">
        <f>IFERROR(VLOOKUP(PesquisadeAlunos,PresençaemFevereiro[],25,FALSE),"")</f>
        <v>0</v>
      </c>
      <c r="Z29" s="68">
        <f>IFERROR(VLOOKUP(PesquisadeAlunos,PresençaemFevereiro[],26,FALSE),"")</f>
        <v>0</v>
      </c>
      <c r="AA29" s="68">
        <f>IFERROR(VLOOKUP(PesquisadeAlunos,PresençaemFevereiro[],27,FALSE),"")</f>
        <v>0</v>
      </c>
      <c r="AB29" s="68">
        <f>IFERROR(VLOOKUP(PesquisadeAlunos,PresençaemFevereiro[],28,FALSE),"")</f>
        <v>0</v>
      </c>
      <c r="AC29" s="68">
        <f>IFERROR(VLOOKUP(PesquisadeAlunos,PresençaemFevereiro[],29,FALSE),"")</f>
        <v>0</v>
      </c>
      <c r="AD29" s="68">
        <f>IFERROR(VLOOKUP(PesquisadeAlunos,PresençaemFevereiro[],30,FALSE),"")</f>
        <v>0</v>
      </c>
      <c r="AE29" s="68">
        <f>IFERROR(VLOOKUP(PesquisadeAlunos,PresençaemFevereiro[],31,FALSE),"")</f>
        <v>0</v>
      </c>
      <c r="AF29" s="68"/>
      <c r="AG29" s="68"/>
      <c r="AH29" s="113"/>
      <c r="AI29" s="113"/>
      <c r="AJ29" s="113"/>
      <c r="AK29" s="113"/>
    </row>
    <row r="30" spans="2:37" x14ac:dyDescent="0.25">
      <c r="B30" s="112" t="s">
        <v>66</v>
      </c>
      <c r="C30" s="69">
        <v>1</v>
      </c>
      <c r="D30" s="69">
        <v>2</v>
      </c>
      <c r="E30" s="69">
        <v>3</v>
      </c>
      <c r="F30" s="69">
        <v>4</v>
      </c>
      <c r="G30" s="69">
        <v>5</v>
      </c>
      <c r="H30" s="69">
        <v>6</v>
      </c>
      <c r="I30" s="69">
        <v>7</v>
      </c>
      <c r="J30" s="69">
        <v>8</v>
      </c>
      <c r="K30" s="69">
        <v>9</v>
      </c>
      <c r="L30" s="69">
        <v>10</v>
      </c>
      <c r="M30" s="69">
        <v>11</v>
      </c>
      <c r="N30" s="69">
        <v>12</v>
      </c>
      <c r="O30" s="69">
        <v>13</v>
      </c>
      <c r="P30" s="69">
        <v>14</v>
      </c>
      <c r="Q30" s="69">
        <v>15</v>
      </c>
      <c r="R30" s="69">
        <v>16</v>
      </c>
      <c r="S30" s="69">
        <v>17</v>
      </c>
      <c r="T30" s="69">
        <v>18</v>
      </c>
      <c r="U30" s="69">
        <v>19</v>
      </c>
      <c r="V30" s="69">
        <v>20</v>
      </c>
      <c r="W30" s="69">
        <v>21</v>
      </c>
      <c r="X30" s="69">
        <v>22</v>
      </c>
      <c r="Y30" s="69">
        <v>23</v>
      </c>
      <c r="Z30" s="69">
        <v>24</v>
      </c>
      <c r="AA30" s="69">
        <v>25</v>
      </c>
      <c r="AB30" s="69">
        <v>26</v>
      </c>
      <c r="AC30" s="69">
        <v>27</v>
      </c>
      <c r="AD30" s="69">
        <v>28</v>
      </c>
      <c r="AE30" s="69">
        <v>29</v>
      </c>
      <c r="AF30" s="69">
        <v>30</v>
      </c>
      <c r="AG30" s="69">
        <v>31</v>
      </c>
      <c r="AH30" s="113">
        <f>COUNTIF($D31:$AH31,Código1)</f>
        <v>0</v>
      </c>
      <c r="AI30" s="113">
        <f>COUNTIF($D31:$AH31,Código2)</f>
        <v>0</v>
      </c>
      <c r="AJ30" s="113">
        <f>COUNTIF($D31:$AH31,Código3)</f>
        <v>0</v>
      </c>
      <c r="AK30" s="113">
        <f>COUNTIF($D31:$AH31,Código4)</f>
        <v>0</v>
      </c>
    </row>
    <row r="31" spans="2:37" x14ac:dyDescent="0.25">
      <c r="B31" s="112"/>
      <c r="C31" s="68" t="str">
        <f>IFERROR(VLOOKUP(PesquisadeAlunos,PresençaemMarço[],3,FALSE),"")</f>
        <v/>
      </c>
      <c r="D31" s="68" t="str">
        <f>IFERROR(VLOOKUP(PesquisadeAlunos,PresençaemMarço[],4,FALSE),"")</f>
        <v/>
      </c>
      <c r="E31" s="68" t="str">
        <f>IFERROR(VLOOKUP(PesquisadeAlunos,PresençaemMarço[],5,FALSE),"")</f>
        <v/>
      </c>
      <c r="F31" s="68" t="str">
        <f>IFERROR(VLOOKUP(PesquisadeAlunos,PresençaemMarço[],6,FALSE),"")</f>
        <v/>
      </c>
      <c r="G31" s="68" t="str">
        <f>IFERROR(VLOOKUP(PesquisadeAlunos,PresençaemMarço[],7,FALSE),"")</f>
        <v/>
      </c>
      <c r="H31" s="68" t="str">
        <f>IFERROR(VLOOKUP(PesquisadeAlunos,PresençaemMarço[],8,FALSE),"")</f>
        <v/>
      </c>
      <c r="I31" s="68" t="str">
        <f>IFERROR(VLOOKUP(PesquisadeAlunos,PresençaemMarço[],9,FALSE),"")</f>
        <v/>
      </c>
      <c r="J31" s="68" t="str">
        <f>IFERROR(VLOOKUP(PesquisadeAlunos,PresençaemMarço[],10,FALSE),"")</f>
        <v/>
      </c>
      <c r="K31" s="68" t="str">
        <f>IFERROR(VLOOKUP(PesquisadeAlunos,PresençaemMarço[],11,FALSE),"")</f>
        <v/>
      </c>
      <c r="L31" s="68" t="str">
        <f>IFERROR(VLOOKUP(PesquisadeAlunos,PresençaemMarço[],12,FALSE),"")</f>
        <v/>
      </c>
      <c r="M31" s="68" t="str">
        <f>IFERROR(VLOOKUP(PesquisadeAlunos,PresençaemMarço[],13,FALSE),"")</f>
        <v/>
      </c>
      <c r="N31" s="68" t="str">
        <f>IFERROR(VLOOKUP(PesquisadeAlunos,PresençaemMarço[],14,FALSE),"")</f>
        <v/>
      </c>
      <c r="O31" s="68" t="str">
        <f>IFERROR(VLOOKUP(PesquisadeAlunos,PresençaemMarço[],15,FALSE),"")</f>
        <v/>
      </c>
      <c r="P31" s="68" t="str">
        <f>IFERROR(VLOOKUP(PesquisadeAlunos,PresençaemMarço[],16,FALSE),"")</f>
        <v/>
      </c>
      <c r="Q31" s="68" t="str">
        <f>IFERROR(VLOOKUP(PesquisadeAlunos,PresençaemMarço[],17,FALSE),"")</f>
        <v/>
      </c>
      <c r="R31" s="68" t="str">
        <f>IFERROR(VLOOKUP(PesquisadeAlunos,PresençaemMarço[],18,FALSE),"")</f>
        <v/>
      </c>
      <c r="S31" s="68" t="str">
        <f>IFERROR(VLOOKUP(PesquisadeAlunos,PresençaemMarço[],19,FALSE),"")</f>
        <v/>
      </c>
      <c r="T31" s="68" t="str">
        <f>IFERROR(VLOOKUP(PesquisadeAlunos,PresençaemMarço[],20,FALSE),"")</f>
        <v/>
      </c>
      <c r="U31" s="68" t="str">
        <f>IFERROR(VLOOKUP(PesquisadeAlunos,PresençaemMarço[],21,FALSE),"")</f>
        <v/>
      </c>
      <c r="V31" s="68" t="str">
        <f>IFERROR(VLOOKUP(PesquisadeAlunos,PresençaemMarço[],22,FALSE),"")</f>
        <v/>
      </c>
      <c r="W31" s="68" t="str">
        <f>IFERROR(VLOOKUP(PesquisadeAlunos,PresençaemMarço[],23,FALSE),"")</f>
        <v/>
      </c>
      <c r="X31" s="68" t="str">
        <f>IFERROR(VLOOKUP(PesquisadeAlunos,PresençaemMarço[],24,FALSE),"")</f>
        <v/>
      </c>
      <c r="Y31" s="68" t="str">
        <f>IFERROR(VLOOKUP(PesquisadeAlunos,PresençaemMarço[],25,FALSE),"")</f>
        <v/>
      </c>
      <c r="Z31" s="68" t="str">
        <f>IFERROR(VLOOKUP(PesquisadeAlunos,PresençaemMarço[],26,FALSE),"")</f>
        <v/>
      </c>
      <c r="AA31" s="68" t="str">
        <f>IFERROR(VLOOKUP(PesquisadeAlunos,PresençaemMarço[],27,FALSE),"")</f>
        <v/>
      </c>
      <c r="AB31" s="68" t="str">
        <f>IFERROR(VLOOKUP(PesquisadeAlunos,PresençaemMarço[],28,FALSE),"")</f>
        <v/>
      </c>
      <c r="AC31" s="68" t="str">
        <f>IFERROR(VLOOKUP(PesquisadeAlunos,PresençaemMarço[],29,FALSE),"")</f>
        <v/>
      </c>
      <c r="AD31" s="68" t="str">
        <f>IFERROR(VLOOKUP(PesquisadeAlunos,PresençaemMarço[],30,FALSE),"")</f>
        <v/>
      </c>
      <c r="AE31" s="68" t="str">
        <f>IFERROR(VLOOKUP(PesquisadeAlunos,PresençaemMarço[],31,FALSE),"")</f>
        <v/>
      </c>
      <c r="AF31" s="68" t="str">
        <f>IFERROR(VLOOKUP(PesquisadeAlunos,PresençaemMarço[],32,FALSE),"")</f>
        <v/>
      </c>
      <c r="AG31" s="68" t="str">
        <f>IFERROR(VLOOKUP(PesquisadeAlunos,PresençaemMarço[],33,FALSE),"")</f>
        <v/>
      </c>
      <c r="AH31" s="113"/>
      <c r="AI31" s="113"/>
      <c r="AJ31" s="113"/>
      <c r="AK31" s="113"/>
    </row>
    <row r="32" spans="2:37" x14ac:dyDescent="0.25">
      <c r="B32" s="112" t="s">
        <v>67</v>
      </c>
      <c r="C32" s="69">
        <v>1</v>
      </c>
      <c r="D32" s="69">
        <v>2</v>
      </c>
      <c r="E32" s="69">
        <v>3</v>
      </c>
      <c r="F32" s="69">
        <v>4</v>
      </c>
      <c r="G32" s="69">
        <v>5</v>
      </c>
      <c r="H32" s="69">
        <v>6</v>
      </c>
      <c r="I32" s="69">
        <v>7</v>
      </c>
      <c r="J32" s="69">
        <v>8</v>
      </c>
      <c r="K32" s="69">
        <v>9</v>
      </c>
      <c r="L32" s="69">
        <v>10</v>
      </c>
      <c r="M32" s="69">
        <v>11</v>
      </c>
      <c r="N32" s="69">
        <v>12</v>
      </c>
      <c r="O32" s="69">
        <v>13</v>
      </c>
      <c r="P32" s="69">
        <v>14</v>
      </c>
      <c r="Q32" s="69">
        <v>15</v>
      </c>
      <c r="R32" s="69">
        <v>16</v>
      </c>
      <c r="S32" s="69">
        <v>17</v>
      </c>
      <c r="T32" s="69">
        <v>18</v>
      </c>
      <c r="U32" s="69">
        <v>19</v>
      </c>
      <c r="V32" s="69">
        <v>20</v>
      </c>
      <c r="W32" s="69">
        <v>21</v>
      </c>
      <c r="X32" s="69">
        <v>22</v>
      </c>
      <c r="Y32" s="69">
        <v>23</v>
      </c>
      <c r="Z32" s="69">
        <v>24</v>
      </c>
      <c r="AA32" s="69">
        <v>25</v>
      </c>
      <c r="AB32" s="69">
        <v>26</v>
      </c>
      <c r="AC32" s="69">
        <v>27</v>
      </c>
      <c r="AD32" s="69">
        <v>28</v>
      </c>
      <c r="AE32" s="69">
        <v>29</v>
      </c>
      <c r="AF32" s="69">
        <v>30</v>
      </c>
      <c r="AG32" s="69"/>
      <c r="AH32" s="113">
        <f>COUNTIF($D33:$AH33,Código1)</f>
        <v>0</v>
      </c>
      <c r="AI32" s="113">
        <f>COUNTIF($D33:$AH33,Código2)</f>
        <v>0</v>
      </c>
      <c r="AJ32" s="113">
        <f>COUNTIF($D33:$AH33,Código3)</f>
        <v>0</v>
      </c>
      <c r="AK32" s="113">
        <f>COUNTIF($D33:$AH33,Código4)</f>
        <v>0</v>
      </c>
    </row>
    <row r="33" spans="2:37" x14ac:dyDescent="0.25">
      <c r="B33" s="112"/>
      <c r="C33" s="68" t="str">
        <f>IFERROR(VLOOKUP(PesquisadeAlunos,PresençaemAbril[],3,FALSE),"")</f>
        <v/>
      </c>
      <c r="D33" s="68" t="str">
        <f>IFERROR(VLOOKUP(PesquisadeAlunos,PresençaemAbril[],4,FALSE),"")</f>
        <v/>
      </c>
      <c r="E33" s="68" t="str">
        <f>IFERROR(VLOOKUP(PesquisadeAlunos,PresençaemAbril[],5,FALSE),"")</f>
        <v/>
      </c>
      <c r="F33" s="68" t="str">
        <f>IFERROR(VLOOKUP(PesquisadeAlunos,PresençaemAbril[],6,FALSE),"")</f>
        <v/>
      </c>
      <c r="G33" s="68" t="str">
        <f>IFERROR(VLOOKUP(PesquisadeAlunos,PresençaemAbril[],7,FALSE),"")</f>
        <v/>
      </c>
      <c r="H33" s="68" t="str">
        <f>IFERROR(VLOOKUP(PesquisadeAlunos,PresençaemAbril[],8,FALSE),"")</f>
        <v/>
      </c>
      <c r="I33" s="68" t="str">
        <f>IFERROR(VLOOKUP(PesquisadeAlunos,PresençaemAbril[],9,FALSE),"")</f>
        <v/>
      </c>
      <c r="J33" s="68" t="str">
        <f>IFERROR(VLOOKUP(PesquisadeAlunos,PresençaemAbril[],10,FALSE),"")</f>
        <v/>
      </c>
      <c r="K33" s="68" t="str">
        <f>IFERROR(VLOOKUP(PesquisadeAlunos,PresençaemAbril[],11,FALSE),"")</f>
        <v/>
      </c>
      <c r="L33" s="68" t="str">
        <f>IFERROR(VLOOKUP(PesquisadeAlunos,PresençaemAbril[],12,FALSE),"")</f>
        <v/>
      </c>
      <c r="M33" s="68" t="str">
        <f>IFERROR(VLOOKUP(PesquisadeAlunos,PresençaemAbril[],13,FALSE),"")</f>
        <v/>
      </c>
      <c r="N33" s="68" t="str">
        <f>IFERROR(VLOOKUP(PesquisadeAlunos,PresençaemAbril[],14,FALSE),"")</f>
        <v/>
      </c>
      <c r="O33" s="68" t="str">
        <f>IFERROR(VLOOKUP(PesquisadeAlunos,PresençaemAbril[],15,FALSE),"")</f>
        <v/>
      </c>
      <c r="P33" s="68" t="str">
        <f>IFERROR(VLOOKUP(PesquisadeAlunos,PresençaemAbril[],16,FALSE),"")</f>
        <v/>
      </c>
      <c r="Q33" s="68" t="str">
        <f>IFERROR(VLOOKUP(PesquisadeAlunos,PresençaemAbril[],17,FALSE),"")</f>
        <v/>
      </c>
      <c r="R33" s="68" t="str">
        <f>IFERROR(VLOOKUP(PesquisadeAlunos,PresençaemAbril[],18,FALSE),"")</f>
        <v/>
      </c>
      <c r="S33" s="68" t="str">
        <f>IFERROR(VLOOKUP(PesquisadeAlunos,PresençaemAbril[],19,FALSE),"")</f>
        <v/>
      </c>
      <c r="T33" s="68" t="str">
        <f>IFERROR(VLOOKUP(PesquisadeAlunos,PresençaemAbril[],20,FALSE),"")</f>
        <v/>
      </c>
      <c r="U33" s="68" t="str">
        <f>IFERROR(VLOOKUP(PesquisadeAlunos,PresençaemAbril[],21,FALSE),"")</f>
        <v/>
      </c>
      <c r="V33" s="68" t="str">
        <f>IFERROR(VLOOKUP(PesquisadeAlunos,PresençaemAbril[],22,FALSE),"")</f>
        <v/>
      </c>
      <c r="W33" s="68" t="str">
        <f>IFERROR(VLOOKUP(PesquisadeAlunos,PresençaemAbril[],23,FALSE),"")</f>
        <v/>
      </c>
      <c r="X33" s="68" t="str">
        <f>IFERROR(VLOOKUP(PesquisadeAlunos,PresençaemAbril[],24,FALSE),"")</f>
        <v/>
      </c>
      <c r="Y33" s="68" t="str">
        <f>IFERROR(VLOOKUP(PesquisadeAlunos,PresençaemAbril[],25,FALSE),"")</f>
        <v/>
      </c>
      <c r="Z33" s="68" t="str">
        <f>IFERROR(VLOOKUP(PesquisadeAlunos,PresençaemAbril[],26,FALSE),"")</f>
        <v/>
      </c>
      <c r="AA33" s="68" t="str">
        <f>IFERROR(VLOOKUP(PesquisadeAlunos,PresençaemAbril[],27,FALSE),"")</f>
        <v/>
      </c>
      <c r="AB33" s="68" t="str">
        <f>IFERROR(VLOOKUP(PesquisadeAlunos,PresençaemAbril[],28,FALSE),"")</f>
        <v/>
      </c>
      <c r="AC33" s="68" t="str">
        <f>IFERROR(VLOOKUP(PesquisadeAlunos,PresençaemAbril[],29,FALSE),"")</f>
        <v/>
      </c>
      <c r="AD33" s="68" t="str">
        <f>IFERROR(VLOOKUP(PesquisadeAlunos,PresençaemAbril[],30,FALSE),"")</f>
        <v/>
      </c>
      <c r="AE33" s="68" t="str">
        <f>IFERROR(VLOOKUP(PesquisadeAlunos,PresençaemAbril[],31,FALSE),"")</f>
        <v/>
      </c>
      <c r="AF33" s="68" t="str">
        <f>IFERROR(VLOOKUP(PesquisadeAlunos,PresençaemAbril[],32,FALSE),"")</f>
        <v/>
      </c>
      <c r="AG33" s="68"/>
      <c r="AH33" s="113"/>
      <c r="AI33" s="113"/>
      <c r="AJ33" s="113"/>
      <c r="AK33" s="113"/>
    </row>
    <row r="34" spans="2:37" x14ac:dyDescent="0.25">
      <c r="B34" s="112" t="s">
        <v>68</v>
      </c>
      <c r="C34" s="69">
        <v>1</v>
      </c>
      <c r="D34" s="69">
        <v>2</v>
      </c>
      <c r="E34" s="69">
        <v>3</v>
      </c>
      <c r="F34" s="69">
        <v>4</v>
      </c>
      <c r="G34" s="69">
        <v>5</v>
      </c>
      <c r="H34" s="69">
        <v>6</v>
      </c>
      <c r="I34" s="69">
        <v>7</v>
      </c>
      <c r="J34" s="69">
        <v>8</v>
      </c>
      <c r="K34" s="69">
        <v>9</v>
      </c>
      <c r="L34" s="69">
        <v>10</v>
      </c>
      <c r="M34" s="69">
        <v>11</v>
      </c>
      <c r="N34" s="69">
        <v>12</v>
      </c>
      <c r="O34" s="69">
        <v>13</v>
      </c>
      <c r="P34" s="69">
        <v>14</v>
      </c>
      <c r="Q34" s="69">
        <v>15</v>
      </c>
      <c r="R34" s="69">
        <v>16</v>
      </c>
      <c r="S34" s="69">
        <v>17</v>
      </c>
      <c r="T34" s="69">
        <v>18</v>
      </c>
      <c r="U34" s="69">
        <v>19</v>
      </c>
      <c r="V34" s="69">
        <v>20</v>
      </c>
      <c r="W34" s="69">
        <v>21</v>
      </c>
      <c r="X34" s="69">
        <v>22</v>
      </c>
      <c r="Y34" s="69">
        <v>23</v>
      </c>
      <c r="Z34" s="69">
        <v>24</v>
      </c>
      <c r="AA34" s="69">
        <v>25</v>
      </c>
      <c r="AB34" s="69">
        <v>26</v>
      </c>
      <c r="AC34" s="69">
        <v>27</v>
      </c>
      <c r="AD34" s="69">
        <v>28</v>
      </c>
      <c r="AE34" s="69">
        <v>29</v>
      </c>
      <c r="AF34" s="69">
        <v>30</v>
      </c>
      <c r="AG34" s="69">
        <v>31</v>
      </c>
      <c r="AH34" s="113">
        <f>COUNTIF($D35:$AH35,Código1)</f>
        <v>0</v>
      </c>
      <c r="AI34" s="113">
        <f>COUNTIF($D35:$AH35,Código2)</f>
        <v>0</v>
      </c>
      <c r="AJ34" s="113">
        <f>COUNTIF($D35:$AH35,Código3)</f>
        <v>0</v>
      </c>
      <c r="AK34" s="113">
        <f>COUNTIF($D35:$AH35,Código4)</f>
        <v>0</v>
      </c>
    </row>
    <row r="35" spans="2:37" x14ac:dyDescent="0.25">
      <c r="B35" s="112"/>
      <c r="C35" s="68" t="str">
        <f>IFERROR(VLOOKUP(PesquisadeAlunos,PresençaemMaio[],3,FALSE),"")</f>
        <v/>
      </c>
      <c r="D35" s="68" t="str">
        <f>IFERROR(VLOOKUP(PesquisadeAlunos,PresençaemMaio[],4,FALSE),"")</f>
        <v/>
      </c>
      <c r="E35" s="68" t="str">
        <f>IFERROR(VLOOKUP(PesquisadeAlunos,PresençaemMaio[],5,FALSE),"")</f>
        <v/>
      </c>
      <c r="F35" s="68" t="str">
        <f>IFERROR(VLOOKUP(PesquisadeAlunos,PresençaemMaio[],6,FALSE),"")</f>
        <v/>
      </c>
      <c r="G35" s="68" t="str">
        <f>IFERROR(VLOOKUP(PesquisadeAlunos,PresençaemMaio[],7,FALSE),"")</f>
        <v/>
      </c>
      <c r="H35" s="68" t="str">
        <f>IFERROR(VLOOKUP(PesquisadeAlunos,PresençaemMaio[],8,FALSE),"")</f>
        <v/>
      </c>
      <c r="I35" s="68" t="str">
        <f>IFERROR(VLOOKUP(PesquisadeAlunos,PresençaemMaio[],9,FALSE),"")</f>
        <v/>
      </c>
      <c r="J35" s="68" t="str">
        <f>IFERROR(VLOOKUP(PesquisadeAlunos,PresençaemMaio[],10,FALSE),"")</f>
        <v/>
      </c>
      <c r="K35" s="68" t="str">
        <f>IFERROR(VLOOKUP(PesquisadeAlunos,PresençaemMaio[],11,FALSE),"")</f>
        <v/>
      </c>
      <c r="L35" s="68" t="str">
        <f>IFERROR(VLOOKUP(PesquisadeAlunos,PresençaemMaio[],12,FALSE),"")</f>
        <v/>
      </c>
      <c r="M35" s="68" t="str">
        <f>IFERROR(VLOOKUP(PesquisadeAlunos,PresençaemMaio[],13,FALSE),"")</f>
        <v/>
      </c>
      <c r="N35" s="68" t="str">
        <f>IFERROR(VLOOKUP(PesquisadeAlunos,PresençaemMaio[],14,FALSE),"")</f>
        <v/>
      </c>
      <c r="O35" s="68" t="str">
        <f>IFERROR(VLOOKUP(PesquisadeAlunos,PresençaemMaio[],15,FALSE),"")</f>
        <v/>
      </c>
      <c r="P35" s="68" t="str">
        <f>IFERROR(VLOOKUP(PesquisadeAlunos,PresençaemMaio[],16,FALSE),"")</f>
        <v/>
      </c>
      <c r="Q35" s="68" t="str">
        <f>IFERROR(VLOOKUP(PesquisadeAlunos,PresençaemMaio[],17,FALSE),"")</f>
        <v/>
      </c>
      <c r="R35" s="68" t="str">
        <f>IFERROR(VLOOKUP(PesquisadeAlunos,PresençaemMaio[],18,FALSE),"")</f>
        <v/>
      </c>
      <c r="S35" s="68" t="str">
        <f>IFERROR(VLOOKUP(PesquisadeAlunos,PresençaemMaio[],19,FALSE),"")</f>
        <v/>
      </c>
      <c r="T35" s="68" t="str">
        <f>IFERROR(VLOOKUP(PesquisadeAlunos,PresençaemMaio[],20,FALSE),"")</f>
        <v/>
      </c>
      <c r="U35" s="68" t="str">
        <f>IFERROR(VLOOKUP(PesquisadeAlunos,PresençaemMaio[],21,FALSE),"")</f>
        <v/>
      </c>
      <c r="V35" s="68" t="str">
        <f>IFERROR(VLOOKUP(PesquisadeAlunos,PresençaemMaio[],22,FALSE),"")</f>
        <v/>
      </c>
      <c r="W35" s="68" t="str">
        <f>IFERROR(VLOOKUP(PesquisadeAlunos,PresençaemMaio[],23,FALSE),"")</f>
        <v/>
      </c>
      <c r="X35" s="68" t="str">
        <f>IFERROR(VLOOKUP(PesquisadeAlunos,PresençaemMaio[],24,FALSE),"")</f>
        <v/>
      </c>
      <c r="Y35" s="68" t="str">
        <f>IFERROR(VLOOKUP(PesquisadeAlunos,PresençaemMaio[],25,FALSE),"")</f>
        <v/>
      </c>
      <c r="Z35" s="68" t="str">
        <f>IFERROR(VLOOKUP(PesquisadeAlunos,PresençaemMaio[],26,FALSE),"")</f>
        <v/>
      </c>
      <c r="AA35" s="68" t="str">
        <f>IFERROR(VLOOKUP(PesquisadeAlunos,PresençaemMaio[],27,FALSE),"")</f>
        <v/>
      </c>
      <c r="AB35" s="68" t="str">
        <f>IFERROR(VLOOKUP(PesquisadeAlunos,PresençaemMaio[],28,FALSE),"")</f>
        <v/>
      </c>
      <c r="AC35" s="68" t="str">
        <f>IFERROR(VLOOKUP(PesquisadeAlunos,PresençaemMaio[],29,FALSE),"")</f>
        <v/>
      </c>
      <c r="AD35" s="68" t="str">
        <f>IFERROR(VLOOKUP(PesquisadeAlunos,PresençaemMaio[],30,FALSE),"")</f>
        <v/>
      </c>
      <c r="AE35" s="68" t="str">
        <f>IFERROR(VLOOKUP(PesquisadeAlunos,PresençaemMaio[],31,FALSE),"")</f>
        <v/>
      </c>
      <c r="AF35" s="68" t="str">
        <f>IFERROR(VLOOKUP(PesquisadeAlunos,PresençaemMaio[],32,FALSE),"")</f>
        <v/>
      </c>
      <c r="AG35" s="68" t="str">
        <f>IFERROR(VLOOKUP(PesquisadeAlunos,PresençaemMaio[],33,FALSE),"")</f>
        <v/>
      </c>
      <c r="AH35" s="113"/>
      <c r="AI35" s="113"/>
      <c r="AJ35" s="113"/>
      <c r="AK35" s="113"/>
    </row>
    <row r="36" spans="2:37" x14ac:dyDescent="0.25">
      <c r="B36" s="114" t="s">
        <v>69</v>
      </c>
      <c r="C36" s="69">
        <v>1</v>
      </c>
      <c r="D36" s="69">
        <v>2</v>
      </c>
      <c r="E36" s="69">
        <v>3</v>
      </c>
      <c r="F36" s="69">
        <v>4</v>
      </c>
      <c r="G36" s="69">
        <v>5</v>
      </c>
      <c r="H36" s="69">
        <v>6</v>
      </c>
      <c r="I36" s="69">
        <v>7</v>
      </c>
      <c r="J36" s="69">
        <v>8</v>
      </c>
      <c r="K36" s="69">
        <v>9</v>
      </c>
      <c r="L36" s="69">
        <v>10</v>
      </c>
      <c r="M36" s="69">
        <v>11</v>
      </c>
      <c r="N36" s="69">
        <v>12</v>
      </c>
      <c r="O36" s="69">
        <v>13</v>
      </c>
      <c r="P36" s="69">
        <v>14</v>
      </c>
      <c r="Q36" s="69">
        <v>15</v>
      </c>
      <c r="R36" s="69">
        <v>16</v>
      </c>
      <c r="S36" s="69">
        <v>17</v>
      </c>
      <c r="T36" s="69">
        <v>18</v>
      </c>
      <c r="U36" s="69">
        <v>19</v>
      </c>
      <c r="V36" s="69">
        <v>20</v>
      </c>
      <c r="W36" s="69">
        <v>21</v>
      </c>
      <c r="X36" s="69">
        <v>22</v>
      </c>
      <c r="Y36" s="69">
        <v>23</v>
      </c>
      <c r="Z36" s="69">
        <v>24</v>
      </c>
      <c r="AA36" s="69">
        <v>25</v>
      </c>
      <c r="AB36" s="69">
        <v>26</v>
      </c>
      <c r="AC36" s="69">
        <v>27</v>
      </c>
      <c r="AD36" s="69">
        <v>28</v>
      </c>
      <c r="AE36" s="69">
        <v>29</v>
      </c>
      <c r="AF36" s="69">
        <v>30</v>
      </c>
      <c r="AG36" s="69"/>
      <c r="AH36" s="109">
        <f>COUNTIF($D37:$AH37,Código1)</f>
        <v>0</v>
      </c>
      <c r="AI36" s="109">
        <f>COUNTIF($D37:$AH37,Código2)</f>
        <v>0</v>
      </c>
      <c r="AJ36" s="109">
        <f>COUNTIF($D37:$AH37,Código3)</f>
        <v>0</v>
      </c>
      <c r="AK36" s="109">
        <f>COUNTIF($D37:$AH37,Código4)</f>
        <v>0</v>
      </c>
    </row>
    <row r="37" spans="2:37" x14ac:dyDescent="0.25">
      <c r="B37" s="115"/>
      <c r="C37" s="68" t="str">
        <f>IFERROR(VLOOKUP(PesquisadeAlunos,PresençaemJunho[],3,FALSE),"")</f>
        <v/>
      </c>
      <c r="D37" s="68" t="str">
        <f>IFERROR(VLOOKUP(PesquisadeAlunos,PresençaemJunho[],4,FALSE),"")</f>
        <v/>
      </c>
      <c r="E37" s="68" t="str">
        <f>IFERROR(VLOOKUP(PesquisadeAlunos,PresençaemJunho[],5,FALSE),"")</f>
        <v/>
      </c>
      <c r="F37" s="68" t="str">
        <f>IFERROR(VLOOKUP(PesquisadeAlunos,PresençaemJunho[],6,FALSE),"")</f>
        <v/>
      </c>
      <c r="G37" s="68" t="str">
        <f>IFERROR(VLOOKUP(PesquisadeAlunos,PresençaemJunho[],7,FALSE),"")</f>
        <v/>
      </c>
      <c r="H37" s="68" t="str">
        <f>IFERROR(VLOOKUP(PesquisadeAlunos,PresençaemJunho[],8,FALSE),"")</f>
        <v/>
      </c>
      <c r="I37" s="68" t="str">
        <f>IFERROR(VLOOKUP(PesquisadeAlunos,PresençaemJunho[],9,FALSE),"")</f>
        <v/>
      </c>
      <c r="J37" s="68" t="str">
        <f>IFERROR(VLOOKUP(PesquisadeAlunos,PresençaemJunho[],10,FALSE),"")</f>
        <v/>
      </c>
      <c r="K37" s="68" t="str">
        <f>IFERROR(VLOOKUP(PesquisadeAlunos,PresençaemJunho[],11,FALSE),"")</f>
        <v/>
      </c>
      <c r="L37" s="68" t="str">
        <f>IFERROR(VLOOKUP(PesquisadeAlunos,PresençaemJunho[],12,FALSE),"")</f>
        <v/>
      </c>
      <c r="M37" s="68" t="str">
        <f>IFERROR(VLOOKUP(PesquisadeAlunos,PresençaemJunho[],13,FALSE),"")</f>
        <v/>
      </c>
      <c r="N37" s="68" t="str">
        <f>IFERROR(VLOOKUP(PesquisadeAlunos,PresençaemJunho[],14,FALSE),"")</f>
        <v/>
      </c>
      <c r="O37" s="68" t="str">
        <f>IFERROR(VLOOKUP(PesquisadeAlunos,PresençaemJunho[],15,FALSE),"")</f>
        <v/>
      </c>
      <c r="P37" s="68" t="str">
        <f>IFERROR(VLOOKUP(PesquisadeAlunos,PresençaemJunho[],16,FALSE),"")</f>
        <v/>
      </c>
      <c r="Q37" s="68" t="str">
        <f>IFERROR(VLOOKUP(PesquisadeAlunos,PresençaemJunho[],17,FALSE),"")</f>
        <v/>
      </c>
      <c r="R37" s="68" t="str">
        <f>IFERROR(VLOOKUP(PesquisadeAlunos,PresençaemJunho[],18,FALSE),"")</f>
        <v/>
      </c>
      <c r="S37" s="68" t="str">
        <f>IFERROR(VLOOKUP(PesquisadeAlunos,PresençaemJunho[],19,FALSE),"")</f>
        <v/>
      </c>
      <c r="T37" s="68" t="str">
        <f>IFERROR(VLOOKUP(PesquisadeAlunos,PresençaemJunho[],20,FALSE),"")</f>
        <v/>
      </c>
      <c r="U37" s="68" t="str">
        <f>IFERROR(VLOOKUP(PesquisadeAlunos,PresençaemJunho[],21,FALSE),"")</f>
        <v/>
      </c>
      <c r="V37" s="68" t="str">
        <f>IFERROR(VLOOKUP(PesquisadeAlunos,PresençaemJunho[],22,FALSE),"")</f>
        <v/>
      </c>
      <c r="W37" s="68" t="str">
        <f>IFERROR(VLOOKUP(PesquisadeAlunos,PresençaemJunho[],23,FALSE),"")</f>
        <v/>
      </c>
      <c r="X37" s="68" t="str">
        <f>IFERROR(VLOOKUP(PesquisadeAlunos,PresençaemJunho[],24,FALSE),"")</f>
        <v/>
      </c>
      <c r="Y37" s="68" t="str">
        <f>IFERROR(VLOOKUP(PesquisadeAlunos,PresençaemJunho[],25,FALSE),"")</f>
        <v/>
      </c>
      <c r="Z37" s="68" t="str">
        <f>IFERROR(VLOOKUP(PesquisadeAlunos,PresençaemJunho[],26,FALSE),"")</f>
        <v/>
      </c>
      <c r="AA37" s="68" t="str">
        <f>IFERROR(VLOOKUP(PesquisadeAlunos,PresençaemJunho[],27,FALSE),"")</f>
        <v/>
      </c>
      <c r="AB37" s="68" t="str">
        <f>IFERROR(VLOOKUP(PesquisadeAlunos,PresençaemJunho[],28,FALSE),"")</f>
        <v/>
      </c>
      <c r="AC37" s="68" t="str">
        <f>IFERROR(VLOOKUP(PesquisadeAlunos,PresençaemJunho[],29,FALSE),"")</f>
        <v/>
      </c>
      <c r="AD37" s="68" t="str">
        <f>IFERROR(VLOOKUP(PesquisadeAlunos,PresençaemJunho[],30,FALSE),"")</f>
        <v/>
      </c>
      <c r="AE37" s="68" t="str">
        <f>IFERROR(VLOOKUP(PesquisadeAlunos,PresençaemJunho[],31,FALSE),"")</f>
        <v/>
      </c>
      <c r="AF37" s="68" t="str">
        <f>IFERROR(VLOOKUP(PesquisadeAlunos,PresençaemJunho[],32,FALSE),"")</f>
        <v/>
      </c>
      <c r="AG37" s="68"/>
      <c r="AH37" s="110"/>
      <c r="AI37" s="110"/>
      <c r="AJ37" s="110"/>
      <c r="AK37" s="110"/>
    </row>
    <row r="38" spans="2:37" x14ac:dyDescent="0.25">
      <c r="B38" s="114" t="s">
        <v>70</v>
      </c>
      <c r="C38" s="69">
        <v>1</v>
      </c>
      <c r="D38" s="69">
        <v>2</v>
      </c>
      <c r="E38" s="69">
        <v>3</v>
      </c>
      <c r="F38" s="69">
        <v>4</v>
      </c>
      <c r="G38" s="69">
        <v>5</v>
      </c>
      <c r="H38" s="69">
        <v>6</v>
      </c>
      <c r="I38" s="69">
        <v>7</v>
      </c>
      <c r="J38" s="69">
        <v>8</v>
      </c>
      <c r="K38" s="69">
        <v>9</v>
      </c>
      <c r="L38" s="69">
        <v>10</v>
      </c>
      <c r="M38" s="69">
        <v>11</v>
      </c>
      <c r="N38" s="69">
        <v>12</v>
      </c>
      <c r="O38" s="69">
        <v>13</v>
      </c>
      <c r="P38" s="69">
        <v>14</v>
      </c>
      <c r="Q38" s="69">
        <v>15</v>
      </c>
      <c r="R38" s="69">
        <v>16</v>
      </c>
      <c r="S38" s="69">
        <v>17</v>
      </c>
      <c r="T38" s="69">
        <v>18</v>
      </c>
      <c r="U38" s="69">
        <v>19</v>
      </c>
      <c r="V38" s="69">
        <v>20</v>
      </c>
      <c r="W38" s="69">
        <v>21</v>
      </c>
      <c r="X38" s="69">
        <v>22</v>
      </c>
      <c r="Y38" s="69">
        <v>23</v>
      </c>
      <c r="Z38" s="69">
        <v>24</v>
      </c>
      <c r="AA38" s="69">
        <v>25</v>
      </c>
      <c r="AB38" s="69">
        <v>26</v>
      </c>
      <c r="AC38" s="69">
        <v>27</v>
      </c>
      <c r="AD38" s="69">
        <v>28</v>
      </c>
      <c r="AE38" s="69">
        <v>29</v>
      </c>
      <c r="AF38" s="69">
        <v>30</v>
      </c>
      <c r="AG38" s="69">
        <v>31</v>
      </c>
      <c r="AH38" s="109">
        <f>COUNTIF($D39:$AH39,Código1)</f>
        <v>0</v>
      </c>
      <c r="AI38" s="109">
        <f>COUNTIF($D39:$AH39,Código2)</f>
        <v>0</v>
      </c>
      <c r="AJ38" s="109">
        <f>COUNTIF($D39:$AH39,Código3)</f>
        <v>0</v>
      </c>
      <c r="AK38" s="109">
        <f>COUNTIF($D39:$AH39,Código4)</f>
        <v>0</v>
      </c>
    </row>
    <row r="39" spans="2:37" x14ac:dyDescent="0.25">
      <c r="B39" s="115"/>
      <c r="C39" s="68" t="str">
        <f>IFERROR(VLOOKUP(PesquisadeAlunos,PresençaemJulho[],3,FALSE),"")</f>
        <v/>
      </c>
      <c r="D39" s="68" t="str">
        <f>IFERROR(VLOOKUP(PesquisadeAlunos,PresençaemJulho[],4,FALSE),"")</f>
        <v/>
      </c>
      <c r="E39" s="68" t="str">
        <f>IFERROR(VLOOKUP(PesquisadeAlunos,PresençaemJulho[],5,FALSE),"")</f>
        <v/>
      </c>
      <c r="F39" s="68" t="str">
        <f>IFERROR(VLOOKUP(PesquisadeAlunos,PresençaemJulho[],6,FALSE),"")</f>
        <v/>
      </c>
      <c r="G39" s="68" t="str">
        <f>IFERROR(VLOOKUP(PesquisadeAlunos,PresençaemJulho[],7,FALSE),"")</f>
        <v/>
      </c>
      <c r="H39" s="68" t="str">
        <f>IFERROR(VLOOKUP(PesquisadeAlunos,PresençaemJulho[],8,FALSE),"")</f>
        <v/>
      </c>
      <c r="I39" s="68" t="str">
        <f>IFERROR(VLOOKUP(PesquisadeAlunos,PresençaemJulho[],9,FALSE),"")</f>
        <v/>
      </c>
      <c r="J39" s="68" t="str">
        <f>IFERROR(VLOOKUP(PesquisadeAlunos,PresençaemJulho[],10,FALSE),"")</f>
        <v/>
      </c>
      <c r="K39" s="68" t="str">
        <f>IFERROR(VLOOKUP(PesquisadeAlunos,PresençaemJulho[],11,FALSE),"")</f>
        <v/>
      </c>
      <c r="L39" s="68" t="str">
        <f>IFERROR(VLOOKUP(PesquisadeAlunos,PresençaemJulho[],12,FALSE),"")</f>
        <v/>
      </c>
      <c r="M39" s="68" t="str">
        <f>IFERROR(VLOOKUP(PesquisadeAlunos,PresençaemJulho[],13,FALSE),"")</f>
        <v/>
      </c>
      <c r="N39" s="68" t="str">
        <f>IFERROR(VLOOKUP(PesquisadeAlunos,PresençaemJulho[],14,FALSE),"")</f>
        <v/>
      </c>
      <c r="O39" s="68" t="str">
        <f>IFERROR(VLOOKUP(PesquisadeAlunos,PresençaemJulho[],15,FALSE),"")</f>
        <v/>
      </c>
      <c r="P39" s="68" t="str">
        <f>IFERROR(VLOOKUP(PesquisadeAlunos,PresençaemJulho[],16,FALSE),"")</f>
        <v/>
      </c>
      <c r="Q39" s="68" t="str">
        <f>IFERROR(VLOOKUP(PesquisadeAlunos,PresençaemJulho[],17,FALSE),"")</f>
        <v/>
      </c>
      <c r="R39" s="68" t="str">
        <f>IFERROR(VLOOKUP(PesquisadeAlunos,PresençaemJulho[],18,FALSE),"")</f>
        <v/>
      </c>
      <c r="S39" s="68" t="str">
        <f>IFERROR(VLOOKUP(PesquisadeAlunos,PresençaemJulho[],19,FALSE),"")</f>
        <v/>
      </c>
      <c r="T39" s="68" t="str">
        <f>IFERROR(VLOOKUP(PesquisadeAlunos,PresençaemJulho[],20,FALSE),"")</f>
        <v/>
      </c>
      <c r="U39" s="68" t="str">
        <f>IFERROR(VLOOKUP(PesquisadeAlunos,PresençaemJulho[],21,FALSE),"")</f>
        <v/>
      </c>
      <c r="V39" s="68" t="str">
        <f>IFERROR(VLOOKUP(PesquisadeAlunos,PresençaemJulho[],22,FALSE),"")</f>
        <v/>
      </c>
      <c r="W39" s="68" t="str">
        <f>IFERROR(VLOOKUP(PesquisadeAlunos,PresençaemJulho[],23,FALSE),"")</f>
        <v/>
      </c>
      <c r="X39" s="68" t="str">
        <f>IFERROR(VLOOKUP(PesquisadeAlunos,PresençaemJulho[],24,FALSE),"")</f>
        <v/>
      </c>
      <c r="Y39" s="68" t="str">
        <f>IFERROR(VLOOKUP(PesquisadeAlunos,PresençaemJulho[],25,FALSE),"")</f>
        <v/>
      </c>
      <c r="Z39" s="68" t="str">
        <f>IFERROR(VLOOKUP(PesquisadeAlunos,PresençaemJulho[],26,FALSE),"")</f>
        <v/>
      </c>
      <c r="AA39" s="68" t="str">
        <f>IFERROR(VLOOKUP(PesquisadeAlunos,PresençaemJulho[],27,FALSE),"")</f>
        <v/>
      </c>
      <c r="AB39" s="68" t="str">
        <f>IFERROR(VLOOKUP(PesquisadeAlunos,PresençaemJulho[],28,FALSE),"")</f>
        <v/>
      </c>
      <c r="AC39" s="68" t="str">
        <f>IFERROR(VLOOKUP(PesquisadeAlunos,PresençaemJulho[],29,FALSE),"")</f>
        <v/>
      </c>
      <c r="AD39" s="68" t="str">
        <f>IFERROR(VLOOKUP(PesquisadeAlunos,PresençaemJulho[],30,FALSE),"")</f>
        <v/>
      </c>
      <c r="AE39" s="68" t="str">
        <f>IFERROR(VLOOKUP(PesquisadeAlunos,PresençaemJulho[],31,FALSE),"")</f>
        <v/>
      </c>
      <c r="AF39" s="68" t="str">
        <f>IFERROR(VLOOKUP(PesquisadeAlunos,PresençaemJulho[],32,FALSE),"")</f>
        <v/>
      </c>
      <c r="AG39" s="68" t="str">
        <f>IFERROR(VLOOKUP(PesquisadeAlunos,PresençaemJulho[],33,FALSE),"")</f>
        <v/>
      </c>
      <c r="AH39" s="110"/>
      <c r="AI39" s="110"/>
      <c r="AJ39" s="110"/>
      <c r="AK39" s="110"/>
    </row>
    <row r="40" spans="2:37" ht="13.8" x14ac:dyDescent="0.3"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111" t="s">
        <v>41</v>
      </c>
      <c r="AF40" s="111"/>
      <c r="AG40" s="111"/>
      <c r="AH40" s="72">
        <f>SUM(AH16:AH39)</f>
        <v>2</v>
      </c>
      <c r="AI40" s="72">
        <f>SUM(AI16:AI39)</f>
        <v>1</v>
      </c>
      <c r="AJ40" s="72">
        <f>SUM(AJ16:AJ39)</f>
        <v>2</v>
      </c>
      <c r="AK40" s="72">
        <f>SUM(AK16:AK39)</f>
        <v>22</v>
      </c>
    </row>
  </sheetData>
  <sheetProtection formatColumns="0" formatRows="0" selectLockedCells="1"/>
  <mergeCells count="100">
    <mergeCell ref="AE5:AK5"/>
    <mergeCell ref="B6:J6"/>
    <mergeCell ref="K6:V6"/>
    <mergeCell ref="W6:AD6"/>
    <mergeCell ref="AE6:AK6"/>
    <mergeCell ref="B5:J5"/>
    <mergeCell ref="K5:V5"/>
    <mergeCell ref="B7:J7"/>
    <mergeCell ref="K7:V7"/>
    <mergeCell ref="W7:AD7"/>
    <mergeCell ref="AE7:AK7"/>
    <mergeCell ref="B8:J8"/>
    <mergeCell ref="K8:V8"/>
    <mergeCell ref="W8:AD8"/>
    <mergeCell ref="AE8:AK8"/>
    <mergeCell ref="P3:R3"/>
    <mergeCell ref="S3:V3"/>
    <mergeCell ref="W3:AD3"/>
    <mergeCell ref="W5:AD5"/>
    <mergeCell ref="P4:R4"/>
    <mergeCell ref="S4:V4"/>
    <mergeCell ref="W4:AD4"/>
    <mergeCell ref="B4:C4"/>
    <mergeCell ref="D4:O4"/>
    <mergeCell ref="D3:O3"/>
    <mergeCell ref="B14:AG15"/>
    <mergeCell ref="AE3:AF3"/>
    <mergeCell ref="AE4:AF4"/>
    <mergeCell ref="AG3:AJ3"/>
    <mergeCell ref="AG4:AJ4"/>
    <mergeCell ref="B9:J9"/>
    <mergeCell ref="K9:V9"/>
    <mergeCell ref="W9:AD9"/>
    <mergeCell ref="AE9:AK9"/>
    <mergeCell ref="B10:J10"/>
    <mergeCell ref="K10:V10"/>
    <mergeCell ref="W10:AD10"/>
    <mergeCell ref="AE10:AK10"/>
    <mergeCell ref="AH14:AK14"/>
    <mergeCell ref="B16:B17"/>
    <mergeCell ref="AH16:AH17"/>
    <mergeCell ref="AI16:AI17"/>
    <mergeCell ref="AJ16:AJ17"/>
    <mergeCell ref="AK16:AK17"/>
    <mergeCell ref="B20:B21"/>
    <mergeCell ref="AH20:AH21"/>
    <mergeCell ref="AI20:AI21"/>
    <mergeCell ref="AJ20:AJ21"/>
    <mergeCell ref="AK20:AK21"/>
    <mergeCell ref="B18:B19"/>
    <mergeCell ref="AH18:AH19"/>
    <mergeCell ref="AI18:AI19"/>
    <mergeCell ref="AJ18:AJ19"/>
    <mergeCell ref="AK18:AK19"/>
    <mergeCell ref="B24:B25"/>
    <mergeCell ref="AH24:AH25"/>
    <mergeCell ref="AI24:AI25"/>
    <mergeCell ref="AJ24:AJ25"/>
    <mergeCell ref="AK24:AK25"/>
    <mergeCell ref="B22:B23"/>
    <mergeCell ref="AH22:AH23"/>
    <mergeCell ref="AI22:AI23"/>
    <mergeCell ref="AJ22:AJ23"/>
    <mergeCell ref="AK22:AK23"/>
    <mergeCell ref="B28:B29"/>
    <mergeCell ref="AH28:AH29"/>
    <mergeCell ref="AI28:AI29"/>
    <mergeCell ref="AJ28:AJ29"/>
    <mergeCell ref="AK28:AK29"/>
    <mergeCell ref="B26:B27"/>
    <mergeCell ref="AH26:AH27"/>
    <mergeCell ref="AI26:AI27"/>
    <mergeCell ref="AJ26:AJ27"/>
    <mergeCell ref="AK26:AK27"/>
    <mergeCell ref="B32:B33"/>
    <mergeCell ref="AH32:AH33"/>
    <mergeCell ref="AI32:AI33"/>
    <mergeCell ref="AJ32:AJ33"/>
    <mergeCell ref="AK32:AK33"/>
    <mergeCell ref="B30:B31"/>
    <mergeCell ref="AH30:AH31"/>
    <mergeCell ref="AI30:AI31"/>
    <mergeCell ref="AJ30:AJ31"/>
    <mergeCell ref="AK30:AK31"/>
    <mergeCell ref="AK38:AK39"/>
    <mergeCell ref="AE40:AG40"/>
    <mergeCell ref="B34:B35"/>
    <mergeCell ref="AH34:AH35"/>
    <mergeCell ref="AI34:AI35"/>
    <mergeCell ref="AJ34:AJ35"/>
    <mergeCell ref="B38:B39"/>
    <mergeCell ref="AH38:AH39"/>
    <mergeCell ref="AI38:AI39"/>
    <mergeCell ref="AJ38:AJ39"/>
    <mergeCell ref="AK34:AK35"/>
    <mergeCell ref="B36:B37"/>
    <mergeCell ref="AH36:AH37"/>
    <mergeCell ref="AI36:AI37"/>
    <mergeCell ref="AJ36:AJ37"/>
    <mergeCell ref="AK36:AK37"/>
  </mergeCells>
  <conditionalFormatting sqref="C17:AG17 C19:AG19 C21:AG21 C23:AF23 C25:AG25 C27:AG27 C29:AG29 C31:AG31 C33:AF33 C35:AG35 C37:AG37 C39:AG39">
    <cfRule type="expression" dxfId="5" priority="150">
      <formula>C17=Código1</formula>
    </cfRule>
    <cfRule type="expression" dxfId="4" priority="162">
      <formula>C17=Código2</formula>
    </cfRule>
    <cfRule type="expression" dxfId="3" priority="174">
      <formula>C17=Código3</formula>
    </cfRule>
    <cfRule type="expression" dxfId="2" priority="186">
      <formula>C17=Código4</formula>
    </cfRule>
    <cfRule type="expression" dxfId="1" priority="199">
      <formula>C17=Código5</formula>
    </cfRule>
  </conditionalFormatting>
  <conditionalFormatting sqref="AE28">
    <cfRule type="expression" dxfId="0" priority="200">
      <formula>DATE(AnoCalendário+1,2,AE28)&gt;EOMONTH(DATE(AnoCalendário+1,1,1),1)</formula>
    </cfRule>
  </conditionalFormatting>
  <dataValidations count="2">
    <dataValidation type="list" errorStyle="warning" allowBlank="1" showInputMessage="1" showErrorMessage="1" errorTitle="Ops!" error="Para ver detalhes de presença de um aluno específico, você precisa selecionar uma ID de Aluno na lista suspensa. Você pode clicar em Sim para usar a sua entrada, mas a maior parte dos detalhes e da presença ficará em branco. " sqref="B4:C4" xr:uid="{00000000-0002-0000-0F00-000000000000}">
      <formula1>IDAluno</formula1>
    </dataValidation>
    <dataValidation allowBlank="1" showInputMessage="1" showErrorMessage="1" errorTitle="Nome de Aluno Desconhecido" error="Selecione um aluno na lista. Você pode adicionar ou remover nomes desta lista na planilha Lista de Alunos." sqref="D4" xr:uid="{00000000-0002-0000-0F00-000001000000}"/>
  </dataValidations>
  <printOptions horizontalCentered="1"/>
  <pageMargins left="0.25" right="0.25" top="0.75" bottom="0.75" header="0.3" footer="0.3"/>
  <pageSetup paperSize="9" scale="8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7"/>
  </sheetPr>
  <dimension ref="A1:S245"/>
  <sheetViews>
    <sheetView showGridLines="0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3.2" x14ac:dyDescent="0.25"/>
  <cols>
    <col min="1" max="1" width="2.6640625" customWidth="1"/>
    <col min="2" max="2" width="14.44140625" customWidth="1"/>
    <col min="3" max="3" width="22.44140625" customWidth="1"/>
    <col min="4" max="4" width="18" customWidth="1"/>
    <col min="5" max="5" width="12.6640625" customWidth="1"/>
    <col min="6" max="6" width="22.6640625" customWidth="1"/>
    <col min="7" max="7" width="20.33203125" customWidth="1"/>
    <col min="8" max="13" width="20.5546875" customWidth="1"/>
    <col min="14" max="14" width="22.44140625" customWidth="1"/>
    <col min="15" max="17" width="20.5546875" customWidth="1"/>
    <col min="18" max="19" width="22.109375" customWidth="1"/>
  </cols>
  <sheetData>
    <row r="1" spans="1:19" ht="42" customHeight="1" x14ac:dyDescent="0.25">
      <c r="A1" s="56" t="s">
        <v>115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26"/>
    </row>
    <row r="3" spans="1:19" s="11" customFormat="1" ht="36" customHeight="1" x14ac:dyDescent="0.25">
      <c r="B3" s="54" t="s">
        <v>34</v>
      </c>
      <c r="C3" s="55" t="s">
        <v>32</v>
      </c>
      <c r="D3" s="55" t="s">
        <v>33</v>
      </c>
      <c r="E3" s="54" t="s">
        <v>42</v>
      </c>
      <c r="F3" s="54" t="s">
        <v>43</v>
      </c>
      <c r="G3" s="55" t="s">
        <v>74</v>
      </c>
      <c r="H3" s="54" t="s">
        <v>75</v>
      </c>
      <c r="I3" s="54" t="s">
        <v>112</v>
      </c>
      <c r="J3" s="54" t="s">
        <v>76</v>
      </c>
      <c r="K3" s="54" t="s">
        <v>80</v>
      </c>
      <c r="L3" s="54" t="s">
        <v>77</v>
      </c>
      <c r="M3" s="54" t="s">
        <v>78</v>
      </c>
      <c r="N3" s="54" t="s">
        <v>79</v>
      </c>
      <c r="O3" s="55" t="s">
        <v>51</v>
      </c>
      <c r="P3" s="54" t="s">
        <v>53</v>
      </c>
      <c r="Q3" s="54" t="s">
        <v>54</v>
      </c>
      <c r="R3" s="54" t="s">
        <v>55</v>
      </c>
      <c r="S3" s="55" t="s">
        <v>56</v>
      </c>
    </row>
    <row r="4" spans="1:19" ht="15.75" customHeight="1" x14ac:dyDescent="0.25">
      <c r="B4" s="10" t="s">
        <v>89</v>
      </c>
      <c r="C4" t="s">
        <v>125</v>
      </c>
      <c r="D4" s="10" t="s">
        <v>126</v>
      </c>
      <c r="E4" s="12" t="s">
        <v>52</v>
      </c>
      <c r="F4" s="13">
        <v>35517</v>
      </c>
      <c r="G4" s="10" t="s">
        <v>127</v>
      </c>
      <c r="H4" s="10" t="s">
        <v>126</v>
      </c>
      <c r="I4" s="15">
        <v>1235550134</v>
      </c>
      <c r="J4" s="15">
        <v>2345550134</v>
      </c>
      <c r="K4" s="14" t="s">
        <v>90</v>
      </c>
      <c r="L4" s="14" t="s">
        <v>73</v>
      </c>
      <c r="M4" s="15" t="s">
        <v>130</v>
      </c>
      <c r="N4" s="15">
        <v>2345550134</v>
      </c>
      <c r="O4" s="10" t="s">
        <v>128</v>
      </c>
      <c r="P4" s="10" t="s">
        <v>57</v>
      </c>
      <c r="Q4" s="15">
        <v>7895550189</v>
      </c>
      <c r="R4" s="15">
        <v>7895550134</v>
      </c>
      <c r="S4" t="str">
        <f>ListadeAlunos[[#This Row],[Nome do Aluno]]&amp;" " &amp;ListadeAlunos[[#This Row],[Sobrenome do Aluno]]</f>
        <v>Manuel Oliveira</v>
      </c>
    </row>
    <row r="5" spans="1:19" ht="15.75" customHeight="1" x14ac:dyDescent="0.25">
      <c r="B5" s="10" t="s">
        <v>91</v>
      </c>
      <c r="C5" t="s">
        <v>138</v>
      </c>
      <c r="D5" s="10" t="s">
        <v>139</v>
      </c>
      <c r="E5" s="12" t="s">
        <v>52</v>
      </c>
      <c r="F5" s="13">
        <v>32905</v>
      </c>
      <c r="G5" s="10" t="s">
        <v>140</v>
      </c>
      <c r="H5" s="10"/>
      <c r="I5" s="15"/>
      <c r="J5" s="15"/>
      <c r="K5" s="14"/>
      <c r="L5" s="14"/>
      <c r="M5" s="15"/>
      <c r="N5" s="15"/>
      <c r="O5" s="10"/>
      <c r="P5" s="10"/>
      <c r="Q5" s="15"/>
      <c r="R5" s="15"/>
      <c r="S5" t="str">
        <f>ListadeAlunos[[#This Row],[Nome do Aluno]]&amp;" " &amp;ListadeAlunos[[#This Row],[Sobrenome do Aluno]]</f>
        <v>Francisco  Alcilandio</v>
      </c>
    </row>
    <row r="6" spans="1:19" ht="15.75" customHeight="1" x14ac:dyDescent="0.25">
      <c r="B6" s="10" t="s">
        <v>92</v>
      </c>
      <c r="C6" t="s">
        <v>140</v>
      </c>
      <c r="D6" s="10" t="s">
        <v>141</v>
      </c>
      <c r="E6" s="12" t="s">
        <v>52</v>
      </c>
      <c r="F6" s="13">
        <v>34251</v>
      </c>
      <c r="G6" s="10" t="s">
        <v>142</v>
      </c>
      <c r="H6" s="10"/>
      <c r="I6" s="15"/>
      <c r="J6" s="15" t="s">
        <v>143</v>
      </c>
      <c r="K6" s="14"/>
      <c r="L6" s="14"/>
      <c r="M6" s="15"/>
      <c r="N6" s="15"/>
      <c r="O6" s="10"/>
      <c r="P6" s="10"/>
      <c r="Q6" s="15"/>
      <c r="R6" s="15"/>
      <c r="S6" t="str">
        <f>ListadeAlunos[[#This Row],[Nome do Aluno]]&amp;" " &amp;ListadeAlunos[[#This Row],[Sobrenome do Aluno]]</f>
        <v>antonio Pereira</v>
      </c>
    </row>
    <row r="7" spans="1:19" ht="15.75" customHeight="1" x14ac:dyDescent="0.25">
      <c r="B7" s="10" t="s">
        <v>93</v>
      </c>
      <c r="C7" t="s">
        <v>35</v>
      </c>
      <c r="D7" s="10">
        <v>4</v>
      </c>
      <c r="E7" s="12"/>
      <c r="F7" s="13"/>
      <c r="G7" s="10"/>
      <c r="H7" s="10"/>
      <c r="I7" s="15"/>
      <c r="J7" s="15"/>
      <c r="K7" s="14"/>
      <c r="L7" s="14"/>
      <c r="M7" s="15"/>
      <c r="N7" s="15"/>
      <c r="O7" s="10"/>
      <c r="P7" s="10"/>
      <c r="Q7" s="15"/>
      <c r="R7" s="15"/>
      <c r="S7" t="str">
        <f>ListadeAlunos[[#This Row],[Nome do Aluno]]&amp;" " &amp;ListadeAlunos[[#This Row],[Sobrenome do Aluno]]</f>
        <v>Aluno 4</v>
      </c>
    </row>
    <row r="8" spans="1:19" ht="15.75" customHeight="1" x14ac:dyDescent="0.25">
      <c r="B8" s="10" t="s">
        <v>94</v>
      </c>
      <c r="C8" t="s">
        <v>35</v>
      </c>
      <c r="D8" s="10">
        <v>5</v>
      </c>
      <c r="E8" s="12"/>
      <c r="F8" s="13"/>
      <c r="G8" s="10"/>
      <c r="H8" s="10"/>
      <c r="I8" s="15"/>
      <c r="J8" s="15"/>
      <c r="K8" s="14"/>
      <c r="L8" s="14"/>
      <c r="M8" s="15"/>
      <c r="N8" s="15"/>
      <c r="O8" s="10"/>
      <c r="P8" s="10"/>
      <c r="Q8" s="15"/>
      <c r="R8" s="15"/>
      <c r="S8" t="str">
        <f>ListadeAlunos[[#This Row],[Nome do Aluno]]&amp;" " &amp;ListadeAlunos[[#This Row],[Sobrenome do Aluno]]</f>
        <v>Aluno 5</v>
      </c>
    </row>
    <row r="9" spans="1:19" ht="15.75" customHeight="1" x14ac:dyDescent="0.25">
      <c r="B9" s="10"/>
      <c r="D9" s="10"/>
      <c r="E9" s="12"/>
      <c r="F9" s="13"/>
      <c r="G9" s="10"/>
      <c r="H9" s="10"/>
      <c r="I9" s="15"/>
      <c r="J9" s="15"/>
      <c r="K9" s="14"/>
      <c r="L9" s="14"/>
      <c r="M9" s="15"/>
      <c r="N9" s="15"/>
      <c r="O9" s="10"/>
      <c r="P9" s="10"/>
      <c r="Q9" s="15"/>
      <c r="R9" s="15"/>
      <c r="S9" s="10"/>
    </row>
    <row r="10" spans="1:19" ht="15.75" customHeight="1" x14ac:dyDescent="0.25">
      <c r="B10" s="10"/>
      <c r="D10" s="10"/>
      <c r="E10" s="12"/>
      <c r="F10" s="13"/>
      <c r="G10" s="10"/>
      <c r="H10" s="10"/>
      <c r="I10" s="15"/>
      <c r="J10" s="15"/>
      <c r="K10" s="14"/>
      <c r="L10" s="14"/>
      <c r="M10" s="15"/>
      <c r="N10" s="15"/>
      <c r="O10" s="10"/>
      <c r="P10" s="10"/>
      <c r="Q10" s="15"/>
      <c r="R10" s="15"/>
      <c r="S10" s="10"/>
    </row>
    <row r="11" spans="1:19" ht="15.75" customHeight="1" x14ac:dyDescent="0.25">
      <c r="B11" s="10"/>
      <c r="D11" s="10"/>
      <c r="E11" s="12"/>
      <c r="F11" s="13"/>
      <c r="G11" s="10"/>
      <c r="H11" s="10"/>
      <c r="I11" s="15"/>
      <c r="J11" s="15"/>
      <c r="K11" s="14"/>
      <c r="L11" s="14"/>
      <c r="M11" s="15"/>
      <c r="N11" s="15"/>
      <c r="O11" s="10"/>
      <c r="P11" s="10"/>
      <c r="Q11" s="15"/>
      <c r="R11" s="15"/>
      <c r="S11" s="10"/>
    </row>
    <row r="12" spans="1:19" ht="15.75" customHeight="1" x14ac:dyDescent="0.25"/>
    <row r="13" spans="1:19" ht="15.75" customHeight="1" x14ac:dyDescent="0.25"/>
    <row r="14" spans="1:19" ht="15.75" customHeight="1" x14ac:dyDescent="0.25"/>
    <row r="15" spans="1:19" ht="15.75" customHeight="1" x14ac:dyDescent="0.25"/>
    <row r="16" spans="1:19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</sheetData>
  <pageMargins left="0.25" right="0.25" top="0.75" bottom="0.75" header="0.3" footer="0.3"/>
  <pageSetup paperSize="9" scale="85" fitToWidth="0" fitToHeight="0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tabColor theme="4" tint="-0.499984740745262"/>
    <pageSetUpPr fitToPage="1"/>
  </sheetPr>
  <dimension ref="A1:AN346"/>
  <sheetViews>
    <sheetView showGridLines="0" zoomScaleNormal="100" workbookViewId="0">
      <pane xSplit="3" ySplit="6" topLeftCell="D7" activePane="bottomRight" state="frozen"/>
      <selection activeCell="Y16" sqref="Y16"/>
      <selection pane="topRight" activeCell="Y16" sqref="Y16"/>
      <selection pane="bottomLeft" activeCell="Y16" sqref="Y16"/>
      <selection pane="bottomRight" activeCell="AK20" sqref="AK20"/>
    </sheetView>
  </sheetViews>
  <sheetFormatPr defaultColWidth="9.109375" defaultRowHeight="15" customHeight="1" x14ac:dyDescent="0.25"/>
  <cols>
    <col min="1" max="1" width="2.6640625" style="8" customWidth="1"/>
    <col min="2" max="2" width="11.88671875" style="8" bestFit="1" customWidth="1"/>
    <col min="3" max="3" width="28.88671875" style="9" customWidth="1"/>
    <col min="4" max="34" width="5" style="7" customWidth="1"/>
    <col min="35" max="35" width="4.6640625" style="6" customWidth="1"/>
    <col min="36" max="36" width="4.6640625" style="7" customWidth="1"/>
    <col min="37" max="38" width="4.6640625" style="8" customWidth="1"/>
    <col min="39" max="39" width="19.5546875" style="8" bestFit="1" customWidth="1"/>
    <col min="40" max="16384" width="9.109375" style="8"/>
  </cols>
  <sheetData>
    <row r="1" spans="1:40" s="1" customFormat="1" ht="42" customHeight="1" x14ac:dyDescent="0.25">
      <c r="A1" s="78" t="s">
        <v>88</v>
      </c>
      <c r="B1" s="22"/>
      <c r="C1" s="22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2"/>
      <c r="AD1" s="22"/>
      <c r="AE1" s="22"/>
      <c r="AF1" s="22"/>
      <c r="AG1" s="24"/>
      <c r="AH1" s="22"/>
      <c r="AI1" s="22"/>
      <c r="AJ1" s="25"/>
      <c r="AK1" s="22"/>
      <c r="AL1" s="34" t="s">
        <v>72</v>
      </c>
      <c r="AM1" s="35">
        <v>2016</v>
      </c>
    </row>
    <row r="2" spans="1:40" customFormat="1" ht="13.2" x14ac:dyDescent="0.25"/>
    <row r="3" spans="1:40" s="17" customFormat="1" ht="12.75" customHeight="1" x14ac:dyDescent="0.25">
      <c r="C3" s="27" t="s">
        <v>106</v>
      </c>
      <c r="D3" s="28" t="s">
        <v>37</v>
      </c>
      <c r="E3" s="41" t="s">
        <v>83</v>
      </c>
      <c r="F3" s="33"/>
      <c r="H3" s="29" t="s">
        <v>39</v>
      </c>
      <c r="I3" s="33" t="s">
        <v>84</v>
      </c>
      <c r="L3" s="30" t="s">
        <v>132</v>
      </c>
      <c r="M3" s="33" t="s">
        <v>133</v>
      </c>
      <c r="P3" s="31" t="s">
        <v>31</v>
      </c>
      <c r="Q3" s="33" t="s">
        <v>85</v>
      </c>
      <c r="T3" s="32" t="s">
        <v>71</v>
      </c>
      <c r="U3" s="33" t="s">
        <v>86</v>
      </c>
      <c r="W3"/>
      <c r="X3"/>
      <c r="Y3"/>
      <c r="AD3" s="16"/>
      <c r="AE3" s="16"/>
      <c r="AH3" s="18"/>
      <c r="AI3" s="19"/>
      <c r="AK3" s="20"/>
    </row>
    <row r="4" spans="1:40" customFormat="1" ht="16.5" customHeight="1" x14ac:dyDescent="0.25"/>
    <row r="5" spans="1:40" s="2" customFormat="1" ht="18" customHeight="1" thickBot="1" x14ac:dyDescent="0.35">
      <c r="B5" s="79">
        <f>DATE(AnoCalendário,8,1)</f>
        <v>42583</v>
      </c>
      <c r="C5" s="80"/>
      <c r="D5" s="81" t="str">
        <f>TEXT(WEEKDAY(DATE(AnoCalendário,8,1),1),"ddd")</f>
        <v>seg</v>
      </c>
      <c r="E5" s="81" t="str">
        <f>TEXT(WEEKDAY(DATE(AnoCalendário,8,2),1),"ddd")</f>
        <v>ter</v>
      </c>
      <c r="F5" s="81" t="str">
        <f>TEXT(WEEKDAY(DATE(AnoCalendário,8,3),1),"ddd")</f>
        <v>qua</v>
      </c>
      <c r="G5" s="81" t="str">
        <f>TEXT(WEEKDAY(DATE(AnoCalendário,8,4),1),"ddd")</f>
        <v>qui</v>
      </c>
      <c r="H5" s="81" t="str">
        <f>TEXT(WEEKDAY(DATE(AnoCalendário,8,5),1),"ddd")</f>
        <v>sex</v>
      </c>
      <c r="I5" s="81" t="str">
        <f>TEXT(WEEKDAY(DATE(AnoCalendário,8,6),1),"ddd")</f>
        <v>sáb</v>
      </c>
      <c r="J5" s="81" t="str">
        <f>TEXT(WEEKDAY(DATE(AnoCalendário,8,7),1),"ddd")</f>
        <v>dom</v>
      </c>
      <c r="K5" s="81" t="str">
        <f>TEXT(WEEKDAY(DATE(AnoCalendário,8,8),1),"ddd")</f>
        <v>seg</v>
      </c>
      <c r="L5" s="81" t="str">
        <f>TEXT(WEEKDAY(DATE(AnoCalendário,8,9),1),"ddd")</f>
        <v>ter</v>
      </c>
      <c r="M5" s="81" t="str">
        <f>TEXT(WEEKDAY(DATE(AnoCalendário,8,10),1),"ddd")</f>
        <v>qua</v>
      </c>
      <c r="N5" s="81" t="str">
        <f>TEXT(WEEKDAY(DATE(AnoCalendário,8,11),1),"ddd")</f>
        <v>qui</v>
      </c>
      <c r="O5" s="81" t="str">
        <f>TEXT(WEEKDAY(DATE(AnoCalendário,8,12),1),"ddd")</f>
        <v>sex</v>
      </c>
      <c r="P5" s="81" t="str">
        <f>TEXT(WEEKDAY(DATE(AnoCalendário,8,13),1),"ddd")</f>
        <v>sáb</v>
      </c>
      <c r="Q5" s="81" t="str">
        <f>TEXT(WEEKDAY(DATE(AnoCalendário,8,14),1),"ddd")</f>
        <v>dom</v>
      </c>
      <c r="R5" s="81" t="str">
        <f>TEXT(WEEKDAY(DATE(AnoCalendário,8,15),1),"ddd")</f>
        <v>seg</v>
      </c>
      <c r="S5" s="81" t="str">
        <f>TEXT(WEEKDAY(DATE(AnoCalendário,8,16),1),"ddd")</f>
        <v>ter</v>
      </c>
      <c r="T5" s="81" t="str">
        <f>TEXT(WEEKDAY(DATE(AnoCalendário,8,17),1),"ddd")</f>
        <v>qua</v>
      </c>
      <c r="U5" s="81" t="str">
        <f>TEXT(WEEKDAY(DATE(AnoCalendário,8,18),1),"ddd")</f>
        <v>qui</v>
      </c>
      <c r="V5" s="81" t="str">
        <f>TEXT(WEEKDAY(DATE(AnoCalendário,8,19),1),"ddd")</f>
        <v>sex</v>
      </c>
      <c r="W5" s="81" t="str">
        <f>TEXT(WEEKDAY(DATE(AnoCalendário,8,20),1),"ddd")</f>
        <v>sáb</v>
      </c>
      <c r="X5" s="81" t="str">
        <f>TEXT(WEEKDAY(DATE(AnoCalendário,8,21),1),"ddd")</f>
        <v>dom</v>
      </c>
      <c r="Y5" s="81" t="str">
        <f>TEXT(WEEKDAY(DATE(AnoCalendário,8,22),1),"ddd")</f>
        <v>seg</v>
      </c>
      <c r="Z5" s="81" t="str">
        <f>TEXT(WEEKDAY(DATE(AnoCalendário,8,23),1),"ddd")</f>
        <v>ter</v>
      </c>
      <c r="AA5" s="81" t="str">
        <f>TEXT(WEEKDAY(DATE(AnoCalendário,8,24),1),"ddd")</f>
        <v>qua</v>
      </c>
      <c r="AB5" s="81" t="str">
        <f>TEXT(WEEKDAY(DATE(AnoCalendário,8,25),1),"ddd")</f>
        <v>qui</v>
      </c>
      <c r="AC5" s="81" t="str">
        <f>TEXT(WEEKDAY(DATE(AnoCalendário,8,26),1),"ddd")</f>
        <v>sex</v>
      </c>
      <c r="AD5" s="81" t="str">
        <f>TEXT(WEEKDAY(DATE(AnoCalendário,8,27),1),"ddd")</f>
        <v>sáb</v>
      </c>
      <c r="AE5" s="81" t="str">
        <f>TEXT(WEEKDAY(DATE(AnoCalendário,8,28),1),"ddd")</f>
        <v>dom</v>
      </c>
      <c r="AF5" s="81" t="str">
        <f>TEXT(WEEKDAY(DATE(AnoCalendário,8,29),1),"ddd")</f>
        <v>seg</v>
      </c>
      <c r="AG5" s="81" t="str">
        <f>TEXT(WEEKDAY(DATE(AnoCalendário,8,30),1),"ddd")</f>
        <v>ter</v>
      </c>
      <c r="AH5" s="81" t="str">
        <f>TEXT(WEEKDAY(DATE(AnoCalendário,8,31),1),"ddd")</f>
        <v>qua</v>
      </c>
      <c r="AI5" s="108" t="s">
        <v>41</v>
      </c>
      <c r="AJ5" s="108"/>
      <c r="AK5" s="108"/>
      <c r="AL5" s="108"/>
      <c r="AM5" s="108"/>
    </row>
    <row r="6" spans="1:40" s="4" customFormat="1" ht="14.25" customHeight="1" thickTop="1" thickBot="1" x14ac:dyDescent="0.3">
      <c r="B6" s="82" t="s">
        <v>34</v>
      </c>
      <c r="C6" s="83" t="s">
        <v>36</v>
      </c>
      <c r="D6" s="84" t="s">
        <v>0</v>
      </c>
      <c r="E6" s="84" t="s">
        <v>1</v>
      </c>
      <c r="F6" s="84" t="s">
        <v>2</v>
      </c>
      <c r="G6" s="84" t="s">
        <v>3</v>
      </c>
      <c r="H6" s="84" t="s">
        <v>4</v>
      </c>
      <c r="I6" s="84" t="s">
        <v>5</v>
      </c>
      <c r="J6" s="84" t="s">
        <v>6</v>
      </c>
      <c r="K6" s="84" t="s">
        <v>7</v>
      </c>
      <c r="L6" s="84" t="s">
        <v>8</v>
      </c>
      <c r="M6" s="84" t="s">
        <v>9</v>
      </c>
      <c r="N6" s="84" t="s">
        <v>10</v>
      </c>
      <c r="O6" s="84" t="s">
        <v>11</v>
      </c>
      <c r="P6" s="84" t="s">
        <v>12</v>
      </c>
      <c r="Q6" s="84" t="s">
        <v>13</v>
      </c>
      <c r="R6" s="84" t="s">
        <v>14</v>
      </c>
      <c r="S6" s="84" t="s">
        <v>15</v>
      </c>
      <c r="T6" s="84" t="s">
        <v>16</v>
      </c>
      <c r="U6" s="84" t="s">
        <v>17</v>
      </c>
      <c r="V6" s="84" t="s">
        <v>18</v>
      </c>
      <c r="W6" s="84" t="s">
        <v>19</v>
      </c>
      <c r="X6" s="84" t="s">
        <v>20</v>
      </c>
      <c r="Y6" s="84" t="s">
        <v>21</v>
      </c>
      <c r="Z6" s="84" t="s">
        <v>22</v>
      </c>
      <c r="AA6" s="84" t="s">
        <v>23</v>
      </c>
      <c r="AB6" s="84" t="s">
        <v>24</v>
      </c>
      <c r="AC6" s="84" t="s">
        <v>25</v>
      </c>
      <c r="AD6" s="84" t="s">
        <v>26</v>
      </c>
      <c r="AE6" s="84" t="s">
        <v>27</v>
      </c>
      <c r="AF6" s="84" t="s">
        <v>28</v>
      </c>
      <c r="AG6" s="84" t="s">
        <v>29</v>
      </c>
      <c r="AH6" s="84" t="s">
        <v>30</v>
      </c>
      <c r="AI6" s="85" t="s">
        <v>37</v>
      </c>
      <c r="AJ6" s="86" t="s">
        <v>39</v>
      </c>
      <c r="AK6" s="87" t="s">
        <v>132</v>
      </c>
      <c r="AL6" s="88" t="s">
        <v>31</v>
      </c>
      <c r="AM6" s="89" t="s">
        <v>40</v>
      </c>
      <c r="AN6" s="3"/>
    </row>
    <row r="7" spans="1:40" s="4" customFormat="1" ht="16.5" customHeight="1" thickTop="1" thickBot="1" x14ac:dyDescent="0.3">
      <c r="B7" s="90" t="s">
        <v>89</v>
      </c>
      <c r="C7" s="91" t="str">
        <f>IFERROR(VLOOKUP(PresençaemAgosto[[#This Row],[ID do Aluno]],ListadeAlunos[],18,FALSE),"")</f>
        <v>Manuel Oliveira</v>
      </c>
      <c r="D7" s="92" t="s">
        <v>132</v>
      </c>
      <c r="E7" s="92" t="s">
        <v>31</v>
      </c>
      <c r="F7" s="92" t="s">
        <v>37</v>
      </c>
      <c r="G7" s="92" t="s">
        <v>37</v>
      </c>
      <c r="H7" s="92" t="s">
        <v>31</v>
      </c>
      <c r="I7" s="92" t="s">
        <v>71</v>
      </c>
      <c r="J7" s="92" t="s">
        <v>71</v>
      </c>
      <c r="K7" s="92" t="s">
        <v>31</v>
      </c>
      <c r="L7" s="92" t="s">
        <v>31</v>
      </c>
      <c r="M7" s="92" t="s">
        <v>39</v>
      </c>
      <c r="N7" s="92" t="s">
        <v>31</v>
      </c>
      <c r="O7" s="92" t="s">
        <v>31</v>
      </c>
      <c r="P7" s="92" t="s">
        <v>71</v>
      </c>
      <c r="Q7" s="92" t="s">
        <v>71</v>
      </c>
      <c r="R7" s="92" t="s">
        <v>31</v>
      </c>
      <c r="S7" s="92" t="s">
        <v>31</v>
      </c>
      <c r="T7" s="92" t="s">
        <v>31</v>
      </c>
      <c r="U7" s="92" t="s">
        <v>31</v>
      </c>
      <c r="V7" s="92" t="s">
        <v>31</v>
      </c>
      <c r="W7" s="92" t="s">
        <v>71</v>
      </c>
      <c r="X7" s="92" t="s">
        <v>71</v>
      </c>
      <c r="Y7" s="92" t="s">
        <v>31</v>
      </c>
      <c r="Z7" s="92" t="s">
        <v>31</v>
      </c>
      <c r="AA7" s="92" t="s">
        <v>31</v>
      </c>
      <c r="AB7" s="92" t="s">
        <v>31</v>
      </c>
      <c r="AC7" s="92" t="s">
        <v>31</v>
      </c>
      <c r="AD7" s="92" t="s">
        <v>71</v>
      </c>
      <c r="AE7" s="92" t="s">
        <v>71</v>
      </c>
      <c r="AF7" s="92" t="s">
        <v>31</v>
      </c>
      <c r="AG7" s="92" t="s">
        <v>31</v>
      </c>
      <c r="AH7" s="92" t="s">
        <v>31</v>
      </c>
      <c r="AI7" s="93">
        <f>COUNTIF(PresençaemAgosto[[#This Row],[1]:[31]],Código1)</f>
        <v>2</v>
      </c>
      <c r="AJ7" s="94">
        <f>COUNTIF(PresençaemAgosto[[#This Row],[1]:[31]],Código2)</f>
        <v>1</v>
      </c>
      <c r="AK7" s="94">
        <f>COUNTIF(PresençaemAgosto[[#This Row],[1]:[31]],Código3)</f>
        <v>1</v>
      </c>
      <c r="AL7" s="94">
        <f>COUNTIF(PresençaemAgosto[[#This Row],[1]:[31]],Código4)</f>
        <v>19</v>
      </c>
      <c r="AM7" s="93">
        <f>SUM(PresençaemAgosto[[#This Row],[E]:[F]])</f>
        <v>2</v>
      </c>
      <c r="AN7" s="3"/>
    </row>
    <row r="8" spans="1:40" s="4" customFormat="1" ht="16.5" customHeight="1" thickTop="1" thickBot="1" x14ac:dyDescent="0.3">
      <c r="B8" s="90" t="s">
        <v>91</v>
      </c>
      <c r="C8" s="91" t="str">
        <f>IFERROR(VLOOKUP(PresençaemAgosto[[#This Row],[ID do Aluno]],ListadeAlunos[],18,FALSE),"")</f>
        <v>Francisco  Alcilandio</v>
      </c>
      <c r="D8" s="92" t="s">
        <v>31</v>
      </c>
      <c r="E8" s="92" t="s">
        <v>38</v>
      </c>
      <c r="F8" s="92" t="s">
        <v>31</v>
      </c>
      <c r="G8" s="92" t="s">
        <v>31</v>
      </c>
      <c r="H8" s="92" t="s">
        <v>31</v>
      </c>
      <c r="I8" s="92" t="s">
        <v>71</v>
      </c>
      <c r="J8" s="92" t="s">
        <v>71</v>
      </c>
      <c r="K8" s="92" t="s">
        <v>31</v>
      </c>
      <c r="L8" s="92" t="s">
        <v>39</v>
      </c>
      <c r="M8" s="92" t="s">
        <v>39</v>
      </c>
      <c r="N8" s="92" t="s">
        <v>39</v>
      </c>
      <c r="O8" s="92" t="s">
        <v>39</v>
      </c>
      <c r="P8" s="92" t="s">
        <v>71</v>
      </c>
      <c r="Q8" s="92" t="s">
        <v>71</v>
      </c>
      <c r="R8" s="92" t="s">
        <v>31</v>
      </c>
      <c r="S8" s="92" t="s">
        <v>31</v>
      </c>
      <c r="T8" s="92" t="s">
        <v>31</v>
      </c>
      <c r="U8" s="92" t="s">
        <v>31</v>
      </c>
      <c r="V8" s="92" t="s">
        <v>31</v>
      </c>
      <c r="W8" s="92" t="s">
        <v>71</v>
      </c>
      <c r="X8" s="92" t="s">
        <v>71</v>
      </c>
      <c r="Y8" s="92" t="s">
        <v>31</v>
      </c>
      <c r="Z8" s="92" t="s">
        <v>31</v>
      </c>
      <c r="AA8" s="92" t="s">
        <v>31</v>
      </c>
      <c r="AB8" s="92" t="s">
        <v>37</v>
      </c>
      <c r="AC8" s="92" t="s">
        <v>37</v>
      </c>
      <c r="AD8" s="92" t="s">
        <v>71</v>
      </c>
      <c r="AE8" s="92" t="s">
        <v>71</v>
      </c>
      <c r="AF8" s="92" t="s">
        <v>31</v>
      </c>
      <c r="AG8" s="92" t="s">
        <v>31</v>
      </c>
      <c r="AH8" s="92" t="s">
        <v>31</v>
      </c>
      <c r="AI8" s="93">
        <f>COUNTIF(PresençaemAgosto[[#This Row],[1]:[31]],Código1)</f>
        <v>2</v>
      </c>
      <c r="AJ8" s="94">
        <f>COUNTIF(PresençaemAgosto[[#This Row],[1]:[31]],Código2)</f>
        <v>4</v>
      </c>
      <c r="AK8" s="94">
        <f>COUNTIF(PresençaemAgosto[[#This Row],[1]:[31]],Código3)</f>
        <v>0</v>
      </c>
      <c r="AL8" s="94">
        <f>COUNTIF(PresençaemAgosto[[#This Row],[1]:[31]],Código4)</f>
        <v>16</v>
      </c>
      <c r="AM8" s="93">
        <f>SUM(PresençaemAgosto[[#This Row],[E]:[F]])</f>
        <v>4</v>
      </c>
      <c r="AN8" s="3"/>
    </row>
    <row r="9" spans="1:40" s="1" customFormat="1" ht="16.5" customHeight="1" thickTop="1" thickBot="1" x14ac:dyDescent="0.3">
      <c r="B9" s="90" t="s">
        <v>92</v>
      </c>
      <c r="C9" s="91" t="str">
        <f>IFERROR(VLOOKUP(PresençaemAgosto[[#This Row],[ID do Aluno]],ListadeAlunos[],18,FALSE),"")</f>
        <v>antonio Pereira</v>
      </c>
      <c r="D9" s="92" t="s">
        <v>131</v>
      </c>
      <c r="E9" s="92" t="s">
        <v>39</v>
      </c>
      <c r="F9" s="92" t="s">
        <v>31</v>
      </c>
      <c r="G9" s="92" t="s">
        <v>31</v>
      </c>
      <c r="H9" s="92" t="s">
        <v>31</v>
      </c>
      <c r="I9" s="92" t="s">
        <v>71</v>
      </c>
      <c r="J9" s="92" t="s">
        <v>71</v>
      </c>
      <c r="K9" s="92" t="s">
        <v>31</v>
      </c>
      <c r="L9" s="92" t="s">
        <v>31</v>
      </c>
      <c r="M9" s="92" t="s">
        <v>38</v>
      </c>
      <c r="N9" s="92" t="s">
        <v>31</v>
      </c>
      <c r="O9" s="92" t="s">
        <v>31</v>
      </c>
      <c r="P9" s="92" t="s">
        <v>71</v>
      </c>
      <c r="Q9" s="92" t="s">
        <v>71</v>
      </c>
      <c r="R9" s="92" t="s">
        <v>31</v>
      </c>
      <c r="S9" s="92" t="s">
        <v>31</v>
      </c>
      <c r="T9" s="92" t="s">
        <v>31</v>
      </c>
      <c r="U9" s="92" t="s">
        <v>31</v>
      </c>
      <c r="V9" s="92" t="s">
        <v>31</v>
      </c>
      <c r="W9" s="92" t="s">
        <v>71</v>
      </c>
      <c r="X9" s="92" t="s">
        <v>71</v>
      </c>
      <c r="Y9" s="92" t="s">
        <v>31</v>
      </c>
      <c r="Z9" s="92" t="s">
        <v>31</v>
      </c>
      <c r="AA9" s="92" t="s">
        <v>39</v>
      </c>
      <c r="AB9" s="92" t="s">
        <v>39</v>
      </c>
      <c r="AC9" s="92" t="s">
        <v>31</v>
      </c>
      <c r="AD9" s="92" t="s">
        <v>71</v>
      </c>
      <c r="AE9" s="92" t="s">
        <v>71</v>
      </c>
      <c r="AF9" s="92" t="s">
        <v>31</v>
      </c>
      <c r="AG9" s="92" t="s">
        <v>31</v>
      </c>
      <c r="AH9" s="92" t="s">
        <v>31</v>
      </c>
      <c r="AI9" s="93">
        <f>COUNTIF(PresençaemAgosto[[#This Row],[1]:[31]],Código1)</f>
        <v>1</v>
      </c>
      <c r="AJ9" s="94">
        <f>COUNTIF(PresençaemAgosto[[#This Row],[1]:[31]],Código2)</f>
        <v>3</v>
      </c>
      <c r="AK9" s="94">
        <f>COUNTIF(PresençaemAgosto[[#This Row],[1]:[31]],Código3)</f>
        <v>0</v>
      </c>
      <c r="AL9" s="94">
        <f>COUNTIF(PresençaemAgosto[[#This Row],[1]:[31]],Código4)</f>
        <v>18</v>
      </c>
      <c r="AM9" s="93">
        <f>SUM(PresençaemAgosto[[#This Row],[E]:[F]])</f>
        <v>3</v>
      </c>
      <c r="AN9" s="5"/>
    </row>
    <row r="10" spans="1:40" ht="16.5" customHeight="1" thickTop="1" thickBot="1" x14ac:dyDescent="0.3">
      <c r="B10" s="90" t="s">
        <v>93</v>
      </c>
      <c r="C10" s="91" t="str">
        <f>IFERROR(VLOOKUP(PresençaemAgosto[[#This Row],[ID do Aluno]],ListadeAlunos[],18,FALSE),"")</f>
        <v>Aluno 4</v>
      </c>
      <c r="D10" s="92" t="s">
        <v>31</v>
      </c>
      <c r="E10" s="92" t="s">
        <v>31</v>
      </c>
      <c r="F10" s="92" t="s">
        <v>31</v>
      </c>
      <c r="G10" s="92" t="s">
        <v>31</v>
      </c>
      <c r="H10" s="92" t="s">
        <v>31</v>
      </c>
      <c r="I10" s="92" t="s">
        <v>71</v>
      </c>
      <c r="J10" s="92" t="s">
        <v>71</v>
      </c>
      <c r="K10" s="92" t="s">
        <v>31</v>
      </c>
      <c r="L10" s="92" t="s">
        <v>31</v>
      </c>
      <c r="M10" s="92" t="s">
        <v>31</v>
      </c>
      <c r="N10" s="92" t="s">
        <v>31</v>
      </c>
      <c r="O10" s="92" t="s">
        <v>31</v>
      </c>
      <c r="P10" s="92" t="s">
        <v>71</v>
      </c>
      <c r="Q10" s="92" t="s">
        <v>71</v>
      </c>
      <c r="R10" s="92" t="s">
        <v>31</v>
      </c>
      <c r="S10" s="92" t="s">
        <v>31</v>
      </c>
      <c r="T10" s="92" t="s">
        <v>31</v>
      </c>
      <c r="U10" s="92" t="s">
        <v>31</v>
      </c>
      <c r="V10" s="92" t="s">
        <v>31</v>
      </c>
      <c r="W10" s="92" t="s">
        <v>71</v>
      </c>
      <c r="X10" s="92" t="s">
        <v>71</v>
      </c>
      <c r="Y10" s="92" t="s">
        <v>31</v>
      </c>
      <c r="Z10" s="92" t="s">
        <v>38</v>
      </c>
      <c r="AA10" s="92" t="s">
        <v>31</v>
      </c>
      <c r="AB10" s="92" t="s">
        <v>31</v>
      </c>
      <c r="AC10" s="92" t="s">
        <v>39</v>
      </c>
      <c r="AD10" s="92" t="s">
        <v>71</v>
      </c>
      <c r="AE10" s="92" t="s">
        <v>71</v>
      </c>
      <c r="AF10" s="92" t="s">
        <v>31</v>
      </c>
      <c r="AG10" s="92" t="s">
        <v>39</v>
      </c>
      <c r="AH10" s="92" t="s">
        <v>31</v>
      </c>
      <c r="AI10" s="93">
        <f>COUNTIF(PresençaemAgosto[[#This Row],[1]:[31]],Código1)</f>
        <v>0</v>
      </c>
      <c r="AJ10" s="94">
        <f>COUNTIF(PresençaemAgosto[[#This Row],[1]:[31]],Código2)</f>
        <v>2</v>
      </c>
      <c r="AK10" s="94">
        <f>COUNTIF(PresençaemAgosto[[#This Row],[1]:[31]],Código3)</f>
        <v>0</v>
      </c>
      <c r="AL10" s="94">
        <f>COUNTIF(PresençaemAgosto[[#This Row],[1]:[31]],Código4)</f>
        <v>20</v>
      </c>
      <c r="AM10" s="93">
        <f>SUM(PresençaemAgosto[[#This Row],[E]:[F]])</f>
        <v>2</v>
      </c>
      <c r="AN10" s="7"/>
    </row>
    <row r="11" spans="1:40" ht="16.5" customHeight="1" thickTop="1" thickBot="1" x14ac:dyDescent="0.3">
      <c r="B11" s="90" t="s">
        <v>94</v>
      </c>
      <c r="C11" s="91" t="str">
        <f>IFERROR(VLOOKUP(PresençaemAgosto[[#This Row],[ID do Aluno]],ListadeAlunos[],18,FALSE),"")</f>
        <v>Aluno 5</v>
      </c>
      <c r="D11" s="92" t="s">
        <v>31</v>
      </c>
      <c r="E11" s="92" t="s">
        <v>31</v>
      </c>
      <c r="F11" s="92" t="s">
        <v>31</v>
      </c>
      <c r="G11" s="92" t="s">
        <v>31</v>
      </c>
      <c r="H11" s="92" t="s">
        <v>31</v>
      </c>
      <c r="I11" s="92" t="s">
        <v>71</v>
      </c>
      <c r="J11" s="92" t="s">
        <v>71</v>
      </c>
      <c r="K11" s="92" t="s">
        <v>31</v>
      </c>
      <c r="L11" s="92" t="s">
        <v>31</v>
      </c>
      <c r="M11" s="92" t="s">
        <v>31</v>
      </c>
      <c r="N11" s="92" t="s">
        <v>31</v>
      </c>
      <c r="O11" s="92" t="s">
        <v>31</v>
      </c>
      <c r="P11" s="92" t="s">
        <v>71</v>
      </c>
      <c r="Q11" s="92" t="s">
        <v>71</v>
      </c>
      <c r="R11" s="92" t="s">
        <v>31</v>
      </c>
      <c r="S11" s="92" t="s">
        <v>31</v>
      </c>
      <c r="T11" s="92" t="s">
        <v>31</v>
      </c>
      <c r="U11" s="92" t="s">
        <v>31</v>
      </c>
      <c r="V11" s="92" t="s">
        <v>31</v>
      </c>
      <c r="W11" s="92" t="s">
        <v>71</v>
      </c>
      <c r="X11" s="92" t="s">
        <v>71</v>
      </c>
      <c r="Y11" s="92" t="s">
        <v>31</v>
      </c>
      <c r="Z11" s="92" t="s">
        <v>31</v>
      </c>
      <c r="AA11" s="92" t="s">
        <v>31</v>
      </c>
      <c r="AB11" s="92" t="s">
        <v>31</v>
      </c>
      <c r="AC11" s="92" t="s">
        <v>31</v>
      </c>
      <c r="AD11" s="92" t="s">
        <v>71</v>
      </c>
      <c r="AE11" s="92" t="s">
        <v>71</v>
      </c>
      <c r="AF11" s="92" t="s">
        <v>31</v>
      </c>
      <c r="AG11" s="92" t="s">
        <v>31</v>
      </c>
      <c r="AH11" s="92" t="s">
        <v>31</v>
      </c>
      <c r="AI11" s="93">
        <f>COUNTIF(PresençaemAgosto[[#This Row],[1]:[31]],Código1)</f>
        <v>0</v>
      </c>
      <c r="AJ11" s="94">
        <f>COUNTIF(PresençaemAgosto[[#This Row],[1]:[31]],Código2)</f>
        <v>0</v>
      </c>
      <c r="AK11" s="94">
        <f>COUNTIF(PresençaemAgosto[[#This Row],[1]:[31]],Código3)</f>
        <v>0</v>
      </c>
      <c r="AL11" s="94">
        <f>COUNTIF(PresençaemAgosto[[#This Row],[1]:[31]],Código4)</f>
        <v>23</v>
      </c>
      <c r="AM11" s="93">
        <f>SUM(PresençaemAgosto[[#This Row],[E]:[F]])</f>
        <v>0</v>
      </c>
      <c r="AN11" s="7"/>
    </row>
    <row r="12" spans="1:40" ht="16.5" customHeight="1" thickTop="1" thickBot="1" x14ac:dyDescent="0.3">
      <c r="B12" s="84"/>
      <c r="C12" s="89" t="s">
        <v>114</v>
      </c>
      <c r="D12" s="93">
        <f>COUNTIF(PresençaemAgosto[1],"U")+COUNTIF(PresençaemAgosto[1],"E")</f>
        <v>0</v>
      </c>
      <c r="E12" s="93">
        <f>COUNTIF(PresençaemAgosto[2],"U")+COUNTIF(PresençaemAgosto[2],"E")</f>
        <v>2</v>
      </c>
      <c r="F12" s="93">
        <f>COUNTIF(PresençaemAgosto[3],"U")+COUNTIF(PresençaemAgosto[3],"E")</f>
        <v>0</v>
      </c>
      <c r="G12" s="93">
        <f>COUNTIF(PresençaemAgosto[4],"U")+COUNTIF(PresençaemAgosto[4],"E")</f>
        <v>0</v>
      </c>
      <c r="H12" s="93">
        <f>COUNTIF(PresençaemAgosto[5],"U")+COUNTIF(PresençaemAgosto[5],"E")</f>
        <v>0</v>
      </c>
      <c r="I12" s="93">
        <f>COUNTIF(PresençaemAgosto[6],"U")+COUNTIF(PresençaemAgosto[6],"E")</f>
        <v>0</v>
      </c>
      <c r="J12" s="93">
        <f>COUNTIF(PresençaemAgosto[7],"U")+COUNTIF(PresençaemAgosto[7],"E")</f>
        <v>0</v>
      </c>
      <c r="K12" s="93">
        <f>COUNTIF(PresençaemAgosto[8],"U")+COUNTIF(PresençaemAgosto[8],"E")</f>
        <v>0</v>
      </c>
      <c r="L12" s="93">
        <f>COUNTIF(PresençaemAgosto[9],"U")+COUNTIF(PresençaemAgosto[9],"E")</f>
        <v>1</v>
      </c>
      <c r="M12" s="93">
        <f>COUNTIF(PresençaemAgosto[10],"U")+COUNTIF(PresençaemAgosto[10],"E")</f>
        <v>3</v>
      </c>
      <c r="N12" s="93">
        <f>COUNTIF(PresençaemAgosto[11],"U")+COUNTIF(PresençaemAgosto[11],"E")</f>
        <v>1</v>
      </c>
      <c r="O12" s="93">
        <f>COUNTIF(PresençaemAgosto[12],"U")+COUNTIF(PresençaemAgosto[12],"E")</f>
        <v>1</v>
      </c>
      <c r="P12" s="93">
        <f>COUNTIF(PresençaemAgosto[13],"U")+COUNTIF(PresençaemAgosto[13],"E")</f>
        <v>0</v>
      </c>
      <c r="Q12" s="93">
        <f>COUNTIF(PresençaemAgosto[14],"U")+COUNTIF(PresençaemAgosto[14],"E")</f>
        <v>0</v>
      </c>
      <c r="R12" s="93">
        <f>COUNTIF(PresençaemAgosto[15],"U")+COUNTIF(PresençaemAgosto[15],"E")</f>
        <v>0</v>
      </c>
      <c r="S12" s="93">
        <f>COUNTIF(PresençaemAgosto[16],"U")+COUNTIF(PresençaemAgosto[16],"E")</f>
        <v>0</v>
      </c>
      <c r="T12" s="93">
        <f>COUNTIF(PresençaemAgosto[17],"U")+COUNTIF(PresençaemAgosto[17],"E")</f>
        <v>0</v>
      </c>
      <c r="U12" s="93">
        <f>COUNTIF(PresençaemAgosto[18],"U")+COUNTIF(PresençaemAgosto[18],"E")</f>
        <v>0</v>
      </c>
      <c r="V12" s="93">
        <f>COUNTIF(PresençaemAgosto[19],"U")+COUNTIF(PresençaemAgosto[19],"E")</f>
        <v>0</v>
      </c>
      <c r="W12" s="93">
        <f>COUNTIF(PresençaemAgosto[20],"U")+COUNTIF(PresençaemAgosto[20],"E")</f>
        <v>0</v>
      </c>
      <c r="X12" s="93">
        <f>COUNTIF(PresençaemAgosto[21],"U")+COUNTIF(PresençaemAgosto[21],"E")</f>
        <v>0</v>
      </c>
      <c r="Y12" s="93">
        <f>COUNTIF(PresençaemAgosto[22],"U")+COUNTIF(PresençaemAgosto[22],"E")</f>
        <v>0</v>
      </c>
      <c r="Z12" s="93">
        <f>COUNTIF(PresençaemAgosto[23],"U")+COUNTIF(PresençaemAgosto[23],"E")</f>
        <v>1</v>
      </c>
      <c r="AA12" s="93">
        <f>COUNTIF(PresençaemAgosto[24],"U")+COUNTIF(PresençaemAgosto[24],"E")</f>
        <v>1</v>
      </c>
      <c r="AB12" s="93">
        <f>COUNTIF(PresençaemAgosto[25],"U")+COUNTIF(PresençaemAgosto[25],"E")</f>
        <v>1</v>
      </c>
      <c r="AC12" s="93">
        <f>COUNTIF(PresençaemAgosto[26],"U")+COUNTIF(PresençaemAgosto[26],"E")</f>
        <v>1</v>
      </c>
      <c r="AD12" s="93">
        <f>COUNTIF(PresençaemAgosto[27],"U")+COUNTIF(PresençaemAgosto[27],"E")</f>
        <v>0</v>
      </c>
      <c r="AE12" s="93">
        <f>COUNTIF(PresençaemAgosto[28],"U")+COUNTIF(PresençaemAgosto[28],"E")</f>
        <v>0</v>
      </c>
      <c r="AF12" s="93">
        <f>COUNTIF(PresençaemAgosto[29],"U")+COUNTIF(PresençaemAgosto[29],"E")</f>
        <v>0</v>
      </c>
      <c r="AG12" s="93">
        <f>COUNTIF(PresençaemAgosto[30],"U")+COUNTIF(PresençaemAgosto[30],"E")</f>
        <v>1</v>
      </c>
      <c r="AH12" s="93">
        <f>COUNTIF(PresençaemAgosto[31],"U")+COUNTIF(PresençaemAgosto[31],"E")</f>
        <v>0</v>
      </c>
      <c r="AI12" s="93">
        <f>SUBTOTAL(109,PresençaemAgosto[T])</f>
        <v>5</v>
      </c>
      <c r="AJ12" s="93">
        <f>SUBTOTAL(109,PresençaemAgosto[E])</f>
        <v>10</v>
      </c>
      <c r="AK12" s="93">
        <f>SUBTOTAL(109,PresençaemAgosto[F])</f>
        <v>1</v>
      </c>
      <c r="AL12" s="93">
        <f>SUBTOTAL(109,PresençaemAgosto[P])</f>
        <v>96</v>
      </c>
      <c r="AM12" s="93">
        <f>SUBTOTAL(109,PresençaemAgosto[Dias de Ausência])</f>
        <v>11</v>
      </c>
    </row>
    <row r="13" spans="1:40" ht="16.5" customHeight="1" thickTop="1" x14ac:dyDescent="0.25"/>
    <row r="14" spans="1:40" ht="16.5" customHeight="1" x14ac:dyDescent="0.25"/>
    <row r="15" spans="1:40" ht="16.5" customHeight="1" x14ac:dyDescent="0.25"/>
    <row r="16" spans="1:40" ht="16.5" customHeight="1" x14ac:dyDescent="0.25"/>
    <row r="17" ht="16.5" customHeight="1" x14ac:dyDescent="0.25"/>
    <row r="18" ht="16.5" customHeight="1" x14ac:dyDescent="0.25"/>
    <row r="19" ht="16.5" customHeight="1" x14ac:dyDescent="0.25"/>
    <row r="20" ht="16.5" customHeight="1" x14ac:dyDescent="0.25"/>
    <row r="21" ht="16.5" customHeight="1" x14ac:dyDescent="0.25"/>
    <row r="22" ht="16.5" customHeight="1" x14ac:dyDescent="0.25"/>
    <row r="23" ht="16.5" customHeight="1" x14ac:dyDescent="0.25"/>
    <row r="24" ht="16.5" customHeight="1" x14ac:dyDescent="0.25"/>
    <row r="25" ht="16.5" customHeight="1" x14ac:dyDescent="0.25"/>
    <row r="26" ht="16.5" customHeight="1" x14ac:dyDescent="0.25"/>
    <row r="27" ht="16.5" customHeight="1" x14ac:dyDescent="0.25"/>
    <row r="28" ht="16.5" customHeight="1" x14ac:dyDescent="0.25"/>
    <row r="29" ht="16.5" customHeight="1" x14ac:dyDescent="0.25"/>
    <row r="30" ht="16.5" customHeight="1" x14ac:dyDescent="0.25"/>
    <row r="31" ht="16.5" customHeight="1" x14ac:dyDescent="0.25"/>
    <row r="32" ht="16.5" customHeight="1" x14ac:dyDescent="0.25"/>
    <row r="33" ht="16.5" customHeight="1" x14ac:dyDescent="0.25"/>
    <row r="34" ht="16.5" customHeight="1" x14ac:dyDescent="0.25"/>
    <row r="35" ht="16.5" customHeight="1" x14ac:dyDescent="0.25"/>
    <row r="36" ht="16.5" customHeight="1" x14ac:dyDescent="0.25"/>
    <row r="37" ht="16.5" customHeight="1" x14ac:dyDescent="0.25"/>
    <row r="38" ht="16.5" customHeight="1" x14ac:dyDescent="0.25"/>
    <row r="39" ht="16.5" customHeight="1" x14ac:dyDescent="0.25"/>
    <row r="40" ht="16.5" customHeight="1" x14ac:dyDescent="0.25"/>
    <row r="41" ht="16.5" customHeight="1" x14ac:dyDescent="0.25"/>
    <row r="42" ht="16.5" customHeight="1" x14ac:dyDescent="0.25"/>
    <row r="43" ht="16.5" customHeight="1" x14ac:dyDescent="0.25"/>
    <row r="44" ht="16.5" customHeight="1" x14ac:dyDescent="0.25"/>
    <row r="45" ht="16.5" customHeight="1" x14ac:dyDescent="0.25"/>
    <row r="46" ht="16.5" customHeight="1" x14ac:dyDescent="0.25"/>
    <row r="47" ht="16.5" customHeight="1" x14ac:dyDescent="0.25"/>
    <row r="48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2" ht="16.5" customHeight="1" x14ac:dyDescent="0.25"/>
    <row r="63" ht="16.5" customHeight="1" x14ac:dyDescent="0.25"/>
    <row r="64" ht="16.5" customHeight="1" x14ac:dyDescent="0.25"/>
    <row r="65" ht="16.5" customHeight="1" x14ac:dyDescent="0.25"/>
    <row r="66" ht="16.5" customHeight="1" x14ac:dyDescent="0.25"/>
    <row r="67" ht="16.5" customHeight="1" x14ac:dyDescent="0.25"/>
    <row r="68" ht="16.5" customHeight="1" x14ac:dyDescent="0.25"/>
    <row r="69" ht="16.5" customHeight="1" x14ac:dyDescent="0.25"/>
    <row r="70" ht="16.5" customHeight="1" x14ac:dyDescent="0.25"/>
    <row r="71" ht="16.5" customHeight="1" x14ac:dyDescent="0.25"/>
    <row r="72" ht="16.5" customHeight="1" x14ac:dyDescent="0.25"/>
    <row r="73" ht="16.5" customHeight="1" x14ac:dyDescent="0.25"/>
    <row r="74" ht="16.5" customHeight="1" x14ac:dyDescent="0.25"/>
    <row r="75" ht="16.5" customHeight="1" x14ac:dyDescent="0.25"/>
    <row r="76" ht="16.5" customHeight="1" x14ac:dyDescent="0.25"/>
    <row r="77" ht="16.5" customHeight="1" x14ac:dyDescent="0.25"/>
    <row r="78" ht="16.5" customHeight="1" x14ac:dyDescent="0.25"/>
    <row r="79" ht="16.5" customHeight="1" x14ac:dyDescent="0.25"/>
    <row r="80" ht="16.5" customHeight="1" x14ac:dyDescent="0.25"/>
    <row r="81" ht="16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  <row r="87" ht="16.5" customHeight="1" x14ac:dyDescent="0.25"/>
    <row r="88" ht="16.5" customHeight="1" x14ac:dyDescent="0.25"/>
    <row r="89" ht="16.5" customHeight="1" x14ac:dyDescent="0.25"/>
    <row r="90" ht="16.5" customHeight="1" x14ac:dyDescent="0.25"/>
    <row r="91" ht="16.5" customHeight="1" x14ac:dyDescent="0.25"/>
    <row r="92" ht="16.5" customHeight="1" x14ac:dyDescent="0.25"/>
    <row r="93" ht="16.5" customHeight="1" x14ac:dyDescent="0.25"/>
    <row r="94" ht="16.5" customHeight="1" x14ac:dyDescent="0.25"/>
    <row r="95" ht="16.5" customHeight="1" x14ac:dyDescent="0.25"/>
    <row r="96" ht="16.5" customHeight="1" x14ac:dyDescent="0.25"/>
    <row r="97" ht="16.5" customHeight="1" x14ac:dyDescent="0.25"/>
    <row r="98" ht="16.5" customHeight="1" x14ac:dyDescent="0.25"/>
    <row r="99" ht="16.5" customHeight="1" x14ac:dyDescent="0.25"/>
    <row r="100" ht="16.5" customHeight="1" x14ac:dyDescent="0.25"/>
    <row r="101" ht="16.5" customHeight="1" x14ac:dyDescent="0.25"/>
    <row r="102" ht="16.5" customHeight="1" x14ac:dyDescent="0.25"/>
    <row r="103" ht="16.5" customHeight="1" x14ac:dyDescent="0.25"/>
    <row r="104" ht="16.5" customHeight="1" x14ac:dyDescent="0.25"/>
    <row r="105" ht="16.5" customHeight="1" x14ac:dyDescent="0.25"/>
    <row r="106" ht="16.5" customHeight="1" x14ac:dyDescent="0.25"/>
    <row r="107" ht="16.5" customHeight="1" x14ac:dyDescent="0.25"/>
    <row r="108" ht="16.5" customHeight="1" x14ac:dyDescent="0.25"/>
    <row r="109" ht="16.5" customHeight="1" x14ac:dyDescent="0.25"/>
    <row r="110" ht="16.5" customHeight="1" x14ac:dyDescent="0.25"/>
    <row r="111" ht="16.5" customHeight="1" x14ac:dyDescent="0.25"/>
    <row r="112" ht="16.5" customHeight="1" x14ac:dyDescent="0.25"/>
    <row r="113" ht="16.5" customHeight="1" x14ac:dyDescent="0.25"/>
    <row r="114" ht="16.5" customHeight="1" x14ac:dyDescent="0.25"/>
    <row r="115" ht="16.5" customHeight="1" x14ac:dyDescent="0.25"/>
    <row r="116" ht="16.5" customHeight="1" x14ac:dyDescent="0.25"/>
    <row r="117" ht="16.5" customHeight="1" x14ac:dyDescent="0.25"/>
    <row r="118" ht="16.5" customHeight="1" x14ac:dyDescent="0.25"/>
    <row r="119" ht="16.5" customHeight="1" x14ac:dyDescent="0.25"/>
    <row r="120" ht="16.5" customHeight="1" x14ac:dyDescent="0.25"/>
    <row r="121" ht="16.5" customHeight="1" x14ac:dyDescent="0.25"/>
    <row r="122" ht="16.5" customHeight="1" x14ac:dyDescent="0.25"/>
    <row r="123" ht="16.5" customHeight="1" x14ac:dyDescent="0.25"/>
    <row r="124" ht="16.5" customHeight="1" x14ac:dyDescent="0.25"/>
    <row r="125" ht="16.5" customHeight="1" x14ac:dyDescent="0.25"/>
    <row r="126" ht="16.5" customHeight="1" x14ac:dyDescent="0.25"/>
    <row r="127" ht="16.5" customHeight="1" x14ac:dyDescent="0.25"/>
    <row r="128" ht="16.5" customHeight="1" x14ac:dyDescent="0.25"/>
    <row r="129" ht="16.5" customHeight="1" x14ac:dyDescent="0.25"/>
    <row r="130" ht="16.5" customHeight="1" x14ac:dyDescent="0.25"/>
    <row r="131" ht="16.5" customHeight="1" x14ac:dyDescent="0.25"/>
    <row r="132" ht="16.5" customHeight="1" x14ac:dyDescent="0.25"/>
    <row r="133" ht="16.5" customHeight="1" x14ac:dyDescent="0.25"/>
    <row r="134" ht="16.5" customHeight="1" x14ac:dyDescent="0.25"/>
    <row r="135" ht="16.5" customHeight="1" x14ac:dyDescent="0.25"/>
    <row r="136" ht="16.5" customHeight="1" x14ac:dyDescent="0.25"/>
    <row r="137" ht="16.5" customHeight="1" x14ac:dyDescent="0.25"/>
    <row r="138" ht="16.5" customHeight="1" x14ac:dyDescent="0.25"/>
    <row r="139" ht="16.5" customHeight="1" x14ac:dyDescent="0.25"/>
    <row r="140" ht="16.5" customHeight="1" x14ac:dyDescent="0.25"/>
    <row r="141" ht="16.5" customHeight="1" x14ac:dyDescent="0.25"/>
    <row r="142" ht="16.5" customHeight="1" x14ac:dyDescent="0.25"/>
    <row r="143" ht="16.5" customHeight="1" x14ac:dyDescent="0.25"/>
    <row r="144" ht="16.5" customHeight="1" x14ac:dyDescent="0.25"/>
    <row r="145" ht="16.5" customHeight="1" x14ac:dyDescent="0.25"/>
    <row r="146" ht="16.5" customHeight="1" x14ac:dyDescent="0.25"/>
    <row r="147" ht="16.5" customHeight="1" x14ac:dyDescent="0.25"/>
    <row r="148" ht="16.5" customHeight="1" x14ac:dyDescent="0.25"/>
    <row r="149" ht="16.5" customHeight="1" x14ac:dyDescent="0.25"/>
    <row r="150" ht="16.5" customHeight="1" x14ac:dyDescent="0.25"/>
    <row r="151" ht="16.5" customHeight="1" x14ac:dyDescent="0.25"/>
    <row r="152" ht="16.5" customHeight="1" x14ac:dyDescent="0.25"/>
    <row r="153" ht="16.5" customHeight="1" x14ac:dyDescent="0.25"/>
    <row r="154" ht="16.5" customHeight="1" x14ac:dyDescent="0.25"/>
    <row r="155" ht="16.5" customHeight="1" x14ac:dyDescent="0.25"/>
    <row r="156" ht="16.5" customHeight="1" x14ac:dyDescent="0.25"/>
    <row r="157" ht="16.5" customHeight="1" x14ac:dyDescent="0.25"/>
    <row r="158" ht="16.5" customHeight="1" x14ac:dyDescent="0.25"/>
    <row r="159" ht="16.5" customHeight="1" x14ac:dyDescent="0.25"/>
    <row r="160" ht="16.5" customHeight="1" x14ac:dyDescent="0.25"/>
    <row r="161" ht="16.5" customHeight="1" x14ac:dyDescent="0.25"/>
    <row r="162" ht="16.5" customHeight="1" x14ac:dyDescent="0.25"/>
    <row r="163" ht="16.5" customHeight="1" x14ac:dyDescent="0.25"/>
    <row r="164" ht="16.5" customHeight="1" x14ac:dyDescent="0.25"/>
    <row r="165" ht="16.5" customHeight="1" x14ac:dyDescent="0.25"/>
    <row r="166" ht="16.5" customHeight="1" x14ac:dyDescent="0.25"/>
    <row r="167" ht="16.5" customHeight="1" x14ac:dyDescent="0.25"/>
    <row r="168" ht="16.5" customHeight="1" x14ac:dyDescent="0.25"/>
    <row r="169" ht="16.5" customHeight="1" x14ac:dyDescent="0.25"/>
    <row r="170" ht="16.5" customHeight="1" x14ac:dyDescent="0.25"/>
    <row r="171" ht="16.5" customHeight="1" x14ac:dyDescent="0.25"/>
    <row r="172" ht="16.5" customHeight="1" x14ac:dyDescent="0.25"/>
    <row r="173" ht="16.5" customHeight="1" x14ac:dyDescent="0.25"/>
    <row r="174" ht="16.5" customHeight="1" x14ac:dyDescent="0.25"/>
    <row r="175" ht="16.5" customHeight="1" x14ac:dyDescent="0.25"/>
    <row r="176" ht="16.5" customHeight="1" x14ac:dyDescent="0.25"/>
    <row r="177" ht="16.5" customHeight="1" x14ac:dyDescent="0.25"/>
    <row r="178" ht="16.5" customHeight="1" x14ac:dyDescent="0.25"/>
    <row r="179" ht="16.5" customHeight="1" x14ac:dyDescent="0.25"/>
    <row r="180" ht="16.5" customHeight="1" x14ac:dyDescent="0.25"/>
    <row r="181" ht="16.5" customHeight="1" x14ac:dyDescent="0.25"/>
    <row r="182" ht="16.5" customHeight="1" x14ac:dyDescent="0.25"/>
    <row r="183" ht="16.5" customHeight="1" x14ac:dyDescent="0.25"/>
    <row r="184" ht="16.5" customHeight="1" x14ac:dyDescent="0.25"/>
    <row r="185" ht="16.5" customHeight="1" x14ac:dyDescent="0.25"/>
    <row r="186" ht="16.5" customHeight="1" x14ac:dyDescent="0.25"/>
    <row r="187" ht="16.5" customHeight="1" x14ac:dyDescent="0.25"/>
    <row r="188" ht="16.5" customHeight="1" x14ac:dyDescent="0.25"/>
    <row r="189" ht="16.5" customHeight="1" x14ac:dyDescent="0.25"/>
    <row r="190" ht="16.5" customHeight="1" x14ac:dyDescent="0.25"/>
    <row r="191" ht="16.5" customHeight="1" x14ac:dyDescent="0.25"/>
    <row r="192" ht="16.5" customHeight="1" x14ac:dyDescent="0.25"/>
    <row r="193" ht="16.5" customHeight="1" x14ac:dyDescent="0.25"/>
    <row r="194" ht="16.5" customHeight="1" x14ac:dyDescent="0.25"/>
    <row r="195" ht="16.5" customHeight="1" x14ac:dyDescent="0.25"/>
    <row r="196" ht="16.5" customHeight="1" x14ac:dyDescent="0.25"/>
    <row r="197" ht="16.5" customHeight="1" x14ac:dyDescent="0.25"/>
    <row r="198" ht="16.5" customHeight="1" x14ac:dyDescent="0.25"/>
    <row r="199" ht="16.5" customHeight="1" x14ac:dyDescent="0.25"/>
    <row r="200" ht="16.5" customHeight="1" x14ac:dyDescent="0.25"/>
    <row r="201" ht="16.5" customHeight="1" x14ac:dyDescent="0.25"/>
    <row r="202" ht="16.5" customHeight="1" x14ac:dyDescent="0.25"/>
    <row r="203" ht="16.5" customHeight="1" x14ac:dyDescent="0.25"/>
    <row r="204" ht="16.5" customHeight="1" x14ac:dyDescent="0.25"/>
    <row r="205" ht="16.5" customHeight="1" x14ac:dyDescent="0.25"/>
    <row r="206" ht="16.5" customHeight="1" x14ac:dyDescent="0.25"/>
    <row r="207" ht="16.5" customHeight="1" x14ac:dyDescent="0.25"/>
    <row r="208" ht="16.5" customHeight="1" x14ac:dyDescent="0.25"/>
    <row r="209" ht="16.5" customHeight="1" x14ac:dyDescent="0.25"/>
    <row r="210" ht="16.5" customHeight="1" x14ac:dyDescent="0.25"/>
    <row r="211" ht="16.5" customHeight="1" x14ac:dyDescent="0.25"/>
    <row r="212" ht="16.5" customHeight="1" x14ac:dyDescent="0.25"/>
    <row r="213" ht="16.5" customHeight="1" x14ac:dyDescent="0.25"/>
    <row r="214" ht="16.5" customHeight="1" x14ac:dyDescent="0.25"/>
    <row r="215" ht="16.5" customHeight="1" x14ac:dyDescent="0.25"/>
    <row r="216" ht="16.5" customHeight="1" x14ac:dyDescent="0.25"/>
    <row r="217" ht="16.5" customHeight="1" x14ac:dyDescent="0.25"/>
    <row r="218" ht="16.5" customHeight="1" x14ac:dyDescent="0.25"/>
    <row r="219" ht="16.5" customHeight="1" x14ac:dyDescent="0.25"/>
    <row r="220" ht="16.5" customHeight="1" x14ac:dyDescent="0.25"/>
    <row r="221" ht="16.5" customHeight="1" x14ac:dyDescent="0.25"/>
    <row r="222" ht="16.5" customHeight="1" x14ac:dyDescent="0.25"/>
    <row r="223" ht="16.5" customHeight="1" x14ac:dyDescent="0.25"/>
    <row r="224" ht="16.5" customHeight="1" x14ac:dyDescent="0.25"/>
    <row r="225" ht="16.5" customHeight="1" x14ac:dyDescent="0.25"/>
    <row r="226" ht="16.5" customHeight="1" x14ac:dyDescent="0.25"/>
    <row r="227" ht="16.5" customHeight="1" x14ac:dyDescent="0.25"/>
    <row r="228" ht="16.5" customHeight="1" x14ac:dyDescent="0.25"/>
    <row r="229" ht="16.5" customHeight="1" x14ac:dyDescent="0.25"/>
    <row r="230" ht="16.5" customHeight="1" x14ac:dyDescent="0.25"/>
    <row r="231" ht="16.5" customHeight="1" x14ac:dyDescent="0.25"/>
    <row r="232" ht="16.5" customHeight="1" x14ac:dyDescent="0.25"/>
    <row r="233" ht="16.5" customHeight="1" x14ac:dyDescent="0.25"/>
    <row r="234" ht="16.5" customHeight="1" x14ac:dyDescent="0.25"/>
    <row r="235" ht="16.5" customHeight="1" x14ac:dyDescent="0.25"/>
    <row r="236" ht="16.5" customHeight="1" x14ac:dyDescent="0.25"/>
    <row r="237" ht="16.5" customHeight="1" x14ac:dyDescent="0.25"/>
    <row r="238" ht="16.5" customHeight="1" x14ac:dyDescent="0.25"/>
    <row r="239" ht="16.5" customHeight="1" x14ac:dyDescent="0.25"/>
    <row r="240" ht="16.5" customHeight="1" x14ac:dyDescent="0.25"/>
    <row r="241" ht="16.5" customHeight="1" x14ac:dyDescent="0.25"/>
    <row r="242" ht="16.5" customHeight="1" x14ac:dyDescent="0.25"/>
    <row r="243" ht="16.5" customHeight="1" x14ac:dyDescent="0.25"/>
    <row r="244" ht="16.5" customHeight="1" x14ac:dyDescent="0.25"/>
    <row r="245" ht="16.5" customHeight="1" x14ac:dyDescent="0.25"/>
    <row r="246" ht="16.5" customHeight="1" x14ac:dyDescent="0.25"/>
    <row r="247" ht="16.5" customHeight="1" x14ac:dyDescent="0.25"/>
    <row r="248" ht="16.5" customHeight="1" x14ac:dyDescent="0.25"/>
    <row r="249" ht="16.5" customHeight="1" x14ac:dyDescent="0.25"/>
    <row r="250" ht="16.5" customHeight="1" x14ac:dyDescent="0.25"/>
    <row r="251" ht="16.5" customHeight="1" x14ac:dyDescent="0.25"/>
    <row r="252" ht="16.5" customHeight="1" x14ac:dyDescent="0.25"/>
    <row r="253" ht="16.5" customHeight="1" x14ac:dyDescent="0.25"/>
    <row r="254" ht="16.5" customHeight="1" x14ac:dyDescent="0.25"/>
    <row r="255" ht="16.5" customHeight="1" x14ac:dyDescent="0.25"/>
    <row r="256" ht="16.5" customHeight="1" x14ac:dyDescent="0.25"/>
    <row r="257" ht="16.5" customHeight="1" x14ac:dyDescent="0.25"/>
    <row r="258" ht="16.5" customHeight="1" x14ac:dyDescent="0.25"/>
    <row r="259" ht="16.5" customHeight="1" x14ac:dyDescent="0.25"/>
    <row r="260" ht="16.5" customHeight="1" x14ac:dyDescent="0.25"/>
    <row r="261" ht="16.5" customHeight="1" x14ac:dyDescent="0.25"/>
    <row r="262" ht="16.5" customHeight="1" x14ac:dyDescent="0.25"/>
    <row r="263" ht="16.5" customHeight="1" x14ac:dyDescent="0.25"/>
    <row r="264" ht="16.5" customHeight="1" x14ac:dyDescent="0.25"/>
    <row r="265" ht="16.5" customHeight="1" x14ac:dyDescent="0.25"/>
    <row r="266" ht="16.5" customHeight="1" x14ac:dyDescent="0.25"/>
    <row r="267" ht="16.5" customHeight="1" x14ac:dyDescent="0.25"/>
    <row r="268" ht="16.5" customHeight="1" x14ac:dyDescent="0.25"/>
    <row r="269" ht="16.5" customHeight="1" x14ac:dyDescent="0.25"/>
    <row r="270" ht="16.5" customHeight="1" x14ac:dyDescent="0.25"/>
    <row r="271" ht="16.5" customHeight="1" x14ac:dyDescent="0.25"/>
    <row r="272" ht="16.5" customHeight="1" x14ac:dyDescent="0.25"/>
    <row r="273" ht="16.5" customHeight="1" x14ac:dyDescent="0.25"/>
    <row r="274" ht="16.5" customHeight="1" x14ac:dyDescent="0.25"/>
    <row r="275" ht="16.5" customHeight="1" x14ac:dyDescent="0.25"/>
    <row r="276" ht="16.5" customHeight="1" x14ac:dyDescent="0.25"/>
    <row r="277" ht="16.5" customHeight="1" x14ac:dyDescent="0.25"/>
    <row r="278" ht="16.5" customHeight="1" x14ac:dyDescent="0.25"/>
    <row r="279" ht="16.5" customHeight="1" x14ac:dyDescent="0.25"/>
    <row r="280" ht="16.5" customHeight="1" x14ac:dyDescent="0.25"/>
    <row r="281" ht="16.5" customHeight="1" x14ac:dyDescent="0.25"/>
    <row r="282" ht="16.5" customHeight="1" x14ac:dyDescent="0.25"/>
    <row r="283" ht="16.5" customHeight="1" x14ac:dyDescent="0.25"/>
    <row r="284" ht="16.5" customHeight="1" x14ac:dyDescent="0.25"/>
    <row r="285" ht="16.5" customHeight="1" x14ac:dyDescent="0.25"/>
    <row r="286" ht="16.5" customHeight="1" x14ac:dyDescent="0.25"/>
    <row r="287" ht="16.5" customHeight="1" x14ac:dyDescent="0.25"/>
    <row r="288" ht="16.5" customHeight="1" x14ac:dyDescent="0.25"/>
    <row r="289" ht="16.5" customHeight="1" x14ac:dyDescent="0.25"/>
    <row r="290" ht="16.5" customHeight="1" x14ac:dyDescent="0.25"/>
    <row r="291" ht="16.5" customHeight="1" x14ac:dyDescent="0.25"/>
    <row r="292" ht="16.5" customHeight="1" x14ac:dyDescent="0.25"/>
    <row r="293" ht="16.5" customHeight="1" x14ac:dyDescent="0.25"/>
    <row r="294" ht="16.5" customHeight="1" x14ac:dyDescent="0.25"/>
    <row r="295" ht="16.5" customHeight="1" x14ac:dyDescent="0.25"/>
    <row r="296" ht="16.5" customHeight="1" x14ac:dyDescent="0.25"/>
    <row r="297" ht="16.5" customHeight="1" x14ac:dyDescent="0.25"/>
    <row r="298" ht="16.5" customHeight="1" x14ac:dyDescent="0.25"/>
    <row r="299" ht="16.5" customHeight="1" x14ac:dyDescent="0.25"/>
    <row r="300" ht="16.5" customHeight="1" x14ac:dyDescent="0.25"/>
    <row r="301" ht="16.5" customHeight="1" x14ac:dyDescent="0.25"/>
    <row r="302" ht="16.5" customHeight="1" x14ac:dyDescent="0.25"/>
    <row r="303" ht="16.5" customHeight="1" x14ac:dyDescent="0.25"/>
    <row r="304" ht="16.5" customHeight="1" x14ac:dyDescent="0.25"/>
    <row r="305" ht="16.5" customHeight="1" x14ac:dyDescent="0.25"/>
    <row r="306" ht="16.5" customHeight="1" x14ac:dyDescent="0.25"/>
    <row r="307" ht="16.5" customHeight="1" x14ac:dyDescent="0.25"/>
    <row r="308" ht="16.5" customHeight="1" x14ac:dyDescent="0.25"/>
    <row r="309" ht="16.5" customHeight="1" x14ac:dyDescent="0.25"/>
    <row r="310" ht="16.5" customHeight="1" x14ac:dyDescent="0.25"/>
    <row r="311" ht="16.5" customHeight="1" x14ac:dyDescent="0.25"/>
    <row r="312" ht="16.5" customHeight="1" x14ac:dyDescent="0.25"/>
    <row r="313" ht="16.5" customHeight="1" x14ac:dyDescent="0.25"/>
    <row r="314" ht="16.5" customHeight="1" x14ac:dyDescent="0.25"/>
    <row r="315" ht="16.5" customHeight="1" x14ac:dyDescent="0.25"/>
    <row r="316" ht="16.5" customHeight="1" x14ac:dyDescent="0.25"/>
    <row r="317" ht="16.5" customHeight="1" x14ac:dyDescent="0.25"/>
    <row r="318" ht="16.5" customHeight="1" x14ac:dyDescent="0.25"/>
    <row r="319" ht="16.5" customHeight="1" x14ac:dyDescent="0.25"/>
    <row r="320" ht="16.5" customHeight="1" x14ac:dyDescent="0.25"/>
    <row r="321" ht="16.5" customHeight="1" x14ac:dyDescent="0.25"/>
    <row r="322" ht="16.5" customHeight="1" x14ac:dyDescent="0.25"/>
    <row r="323" ht="16.5" customHeight="1" x14ac:dyDescent="0.25"/>
    <row r="324" ht="16.5" customHeight="1" x14ac:dyDescent="0.25"/>
    <row r="325" ht="16.5" customHeight="1" x14ac:dyDescent="0.25"/>
    <row r="326" ht="16.5" customHeight="1" x14ac:dyDescent="0.25"/>
    <row r="327" ht="16.5" customHeight="1" x14ac:dyDescent="0.25"/>
    <row r="328" ht="16.5" customHeight="1" x14ac:dyDescent="0.25"/>
    <row r="329" ht="16.5" customHeight="1" x14ac:dyDescent="0.25"/>
    <row r="330" ht="16.5" customHeight="1" x14ac:dyDescent="0.25"/>
    <row r="331" ht="16.5" customHeight="1" x14ac:dyDescent="0.25"/>
    <row r="332" ht="16.5" customHeight="1" x14ac:dyDescent="0.25"/>
    <row r="333" ht="16.5" customHeight="1" x14ac:dyDescent="0.25"/>
    <row r="334" ht="16.5" customHeight="1" x14ac:dyDescent="0.25"/>
    <row r="335" ht="16.5" customHeight="1" x14ac:dyDescent="0.25"/>
    <row r="336" ht="16.5" customHeight="1" x14ac:dyDescent="0.25"/>
    <row r="337" ht="16.5" customHeight="1" x14ac:dyDescent="0.25"/>
    <row r="338" ht="16.5" customHeight="1" x14ac:dyDescent="0.25"/>
    <row r="339" ht="16.5" customHeight="1" x14ac:dyDescent="0.25"/>
    <row r="340" ht="16.5" customHeight="1" x14ac:dyDescent="0.25"/>
    <row r="341" ht="16.5" customHeight="1" x14ac:dyDescent="0.25"/>
    <row r="342" ht="16.5" customHeight="1" x14ac:dyDescent="0.25"/>
    <row r="343" ht="16.5" customHeight="1" x14ac:dyDescent="0.25"/>
    <row r="344" ht="16.5" customHeight="1" x14ac:dyDescent="0.25"/>
    <row r="345" ht="16.5" customHeight="1" x14ac:dyDescent="0.25"/>
    <row r="346" ht="16.5" customHeight="1" x14ac:dyDescent="0.25"/>
  </sheetData>
  <sheetProtection formatCells="0" formatColumns="0" formatRows="0" insertColumns="0" insertRows="0" insertHyperlinks="0" deleteColumns="0" deleteRows="0" sort="0" autoFilter="0" pivotTables="0"/>
  <mergeCells count="1">
    <mergeCell ref="AI5:AM5"/>
  </mergeCells>
  <conditionalFormatting sqref="D7:AH11">
    <cfRule type="expression" dxfId="90" priority="149" stopIfTrue="1">
      <formula>D7=Código5</formula>
    </cfRule>
    <cfRule type="expression" dxfId="89" priority="150" stopIfTrue="1">
      <formula>D7=Código4</formula>
    </cfRule>
    <cfRule type="expression" dxfId="88" priority="151" stopIfTrue="1">
      <formula>D7=Código3</formula>
    </cfRule>
    <cfRule type="expression" dxfId="87" priority="152" stopIfTrue="1">
      <formula>D7=Código1</formula>
    </cfRule>
  </conditionalFormatting>
  <conditionalFormatting sqref="D7:AI11">
    <cfRule type="expression" dxfId="86" priority="140" stopIfTrue="1">
      <formula>D7=Código2</formula>
    </cfRule>
  </conditionalFormatting>
  <conditionalFormatting sqref="E14:AE19">
    <cfRule type="cellIs" dxfId="85" priority="1" operator="equal">
      <formula>"F"</formula>
    </cfRule>
    <cfRule type="cellIs" dxfId="84" priority="2" operator="equal">
      <formula>"T"</formula>
    </cfRule>
    <cfRule type="cellIs" dxfId="83" priority="3" operator="equal">
      <formula>"E"</formula>
    </cfRule>
  </conditionalFormatting>
  <conditionalFormatting sqref="AM7:AM11">
    <cfRule type="dataBar" priority="205">
      <dataBar>
        <cfvo type="min"/>
        <cfvo type="num" val="31"/>
        <color theme="4"/>
      </dataBar>
      <extLst>
        <ext xmlns:x14="http://schemas.microsoft.com/office/spreadsheetml/2009/9/main" uri="{B025F937-C7B1-47D3-B67F-A62EFF666E3E}">
          <x14:id>{ECCE2C3C-1B01-4700-B60E-DAAAB19A9C1A}</x14:id>
        </ext>
      </extLst>
    </cfRule>
  </conditionalFormatting>
  <dataValidations count="1">
    <dataValidation type="list" errorStyle="warning" allowBlank="1" showInputMessage="1" showErrorMessage="1" errorTitle="Ops!" error="A ID de Aluno que você inseriu não está na planilha Lista de Alunos. Você pode clicar em Sim para usar a ID de Aluno inserida, mas ela não estará disponível na planilha Relatório de Presença dos Alunos." sqref="B7:B11" xr:uid="{00000000-0002-0000-0300-000000000000}">
      <formula1>IDAluno</formula1>
    </dataValidation>
  </dataValidations>
  <printOptions horizontalCentered="1"/>
  <pageMargins left="0.5" right="0.5" top="0.75" bottom="0.75" header="0.3" footer="0.3"/>
  <pageSetup paperSize="9" scale="59" fitToHeight="0" orientation="landscape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ontrole Giratório 1">
              <controlPr defaultSize="0" print="0" autoPict="0" altText="Calendar Year Spinner. Click the spinner to change the school calendar year or type the year in cell AM.">
                <anchor moveWithCells="1" sizeWithCells="1">
                  <from>
                    <xdr:col>39</xdr:col>
                    <xdr:colOff>38100</xdr:colOff>
                    <xdr:row>0</xdr:row>
                    <xdr:rowOff>106680</xdr:rowOff>
                  </from>
                  <to>
                    <xdr:col>39</xdr:col>
                    <xdr:colOff>213360</xdr:colOff>
                    <xdr:row>0</xdr:row>
                    <xdr:rowOff>419100</xdr:rowOff>
                  </to>
                </anchor>
              </controlPr>
            </control>
          </mc:Choice>
        </mc:AlternateContent>
      </controls>
    </mc:Choice>
  </mc:AlternateContent>
  <tableParts count="1">
    <tablePart r:id="rId5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CCE2C3C-1B01-4700-B60E-DAAAB19A9C1A}">
            <x14:dataBar minLength="0" maxLength="100" border="1" negativeBarBorderColorSameAsPositive="0">
              <x14:cfvo type="autoMin"/>
              <x14:cfvo type="num">
                <xm:f>31</xm:f>
              </x14:cfvo>
              <x14:borderColor theme="4"/>
              <x14:negativeFillColor rgb="FFFF0000"/>
              <x14:negativeBorderColor rgb="FFFF0000"/>
              <x14:axisColor rgb="FF000000"/>
            </x14:dataBar>
          </x14:cfRule>
          <xm:sqref>AM7:AM11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-0.249977111117893"/>
    <pageSetUpPr fitToPage="1"/>
  </sheetPr>
  <dimension ref="A1:AN346"/>
  <sheetViews>
    <sheetView showGridLines="0" zoomScaleNormal="100" workbookViewId="0">
      <pane xSplit="3" ySplit="6" topLeftCell="D7" activePane="bottomRight" state="frozen"/>
      <selection activeCell="Y16" sqref="Y16"/>
      <selection pane="topRight" activeCell="Y16" sqref="Y16"/>
      <selection pane="bottomLeft" activeCell="Y16" sqref="Y16"/>
      <selection pane="bottomRight"/>
    </sheetView>
  </sheetViews>
  <sheetFormatPr defaultColWidth="9.109375" defaultRowHeight="15" customHeight="1" x14ac:dyDescent="0.25"/>
  <cols>
    <col min="1" max="1" width="2.6640625" style="8" customWidth="1"/>
    <col min="2" max="2" width="11.88671875" style="8" bestFit="1" customWidth="1"/>
    <col min="3" max="3" width="28.88671875" style="9" customWidth="1"/>
    <col min="4" max="34" width="5" style="7" customWidth="1"/>
    <col min="35" max="35" width="4.6640625" style="6" customWidth="1"/>
    <col min="36" max="36" width="4.6640625" style="7" customWidth="1"/>
    <col min="37" max="38" width="4.6640625" style="8" customWidth="1"/>
    <col min="39" max="39" width="19.5546875" style="8" bestFit="1" customWidth="1"/>
    <col min="40" max="16384" width="9.109375" style="8"/>
  </cols>
  <sheetData>
    <row r="1" spans="1:40" s="1" customFormat="1" ht="42" customHeight="1" x14ac:dyDescent="0.25">
      <c r="A1" s="21" t="s">
        <v>88</v>
      </c>
      <c r="B1" s="22"/>
      <c r="C1" s="22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2"/>
      <c r="AD1" s="22"/>
      <c r="AE1" s="22"/>
      <c r="AF1" s="22"/>
      <c r="AG1" s="24"/>
      <c r="AH1" s="22"/>
      <c r="AI1" s="22"/>
      <c r="AJ1" s="25"/>
      <c r="AK1" s="22"/>
      <c r="AL1" s="34" t="s">
        <v>72</v>
      </c>
      <c r="AM1" s="35">
        <f>AnoCalendário</f>
        <v>2016</v>
      </c>
    </row>
    <row r="2" spans="1:40" customFormat="1" ht="13.2" x14ac:dyDescent="0.25"/>
    <row r="3" spans="1:40" s="17" customFormat="1" ht="12.75" customHeight="1" x14ac:dyDescent="0.25">
      <c r="C3" s="27" t="str">
        <f>TextodaChavedeCor</f>
        <v xml:space="preserve">CHAVE COLORIDA </v>
      </c>
      <c r="D3" s="28" t="str">
        <f>Código1</f>
        <v>T</v>
      </c>
      <c r="E3" s="41" t="str">
        <f>TextodeCódigo1</f>
        <v>Atrasado</v>
      </c>
      <c r="F3" s="33"/>
      <c r="H3" s="29" t="str">
        <f>Código2</f>
        <v>E</v>
      </c>
      <c r="I3" s="33" t="str">
        <f>TextodeCódigo2</f>
        <v>Dispensado</v>
      </c>
      <c r="L3" s="30" t="str">
        <f>Código3</f>
        <v>F</v>
      </c>
      <c r="M3" s="33" t="str">
        <f>TextodeCódigo3</f>
        <v>faltou a aula</v>
      </c>
      <c r="P3" s="31" t="str">
        <f>Código4</f>
        <v>P</v>
      </c>
      <c r="Q3" s="33" t="str">
        <f>TextodeCódigo4</f>
        <v>Presente</v>
      </c>
      <c r="T3" s="32" t="str">
        <f>Código5</f>
        <v>N</v>
      </c>
      <c r="U3" s="33" t="str">
        <f>TextodeCódigo5</f>
        <v>Sem Aula</v>
      </c>
      <c r="W3"/>
      <c r="X3"/>
      <c r="Y3"/>
      <c r="AD3" s="16"/>
      <c r="AE3" s="16"/>
      <c r="AH3" s="18"/>
      <c r="AI3" s="19"/>
      <c r="AK3" s="20"/>
    </row>
    <row r="4" spans="1:40" customFormat="1" ht="16.5" customHeight="1" x14ac:dyDescent="0.25"/>
    <row r="5" spans="1:40" s="2" customFormat="1" ht="18" customHeight="1" thickBot="1" x14ac:dyDescent="0.35">
      <c r="B5" s="79">
        <f>DATE(AnoCalendário,9,1)</f>
        <v>42614</v>
      </c>
      <c r="C5" s="80"/>
      <c r="D5" s="81" t="str">
        <f>TEXT(WEEKDAY(DATE(AnoCalendário,9,1),1),"ddd")</f>
        <v>qui</v>
      </c>
      <c r="E5" s="81" t="str">
        <f>TEXT(WEEKDAY(DATE(AnoCalendário,9,2),1),"ddd")</f>
        <v>sex</v>
      </c>
      <c r="F5" s="81" t="str">
        <f>TEXT(WEEKDAY(DATE(AnoCalendário,9,3),1),"ddd")</f>
        <v>sáb</v>
      </c>
      <c r="G5" s="81" t="str">
        <f>TEXT(WEEKDAY(DATE(AnoCalendário,9,4),1),"ddd")</f>
        <v>dom</v>
      </c>
      <c r="H5" s="81" t="str">
        <f>TEXT(WEEKDAY(DATE(AnoCalendário,9,5),1),"ddd")</f>
        <v>seg</v>
      </c>
      <c r="I5" s="81" t="str">
        <f>TEXT(WEEKDAY(DATE(AnoCalendário,9,6),1),"ddd")</f>
        <v>ter</v>
      </c>
      <c r="J5" s="81" t="str">
        <f>TEXT(WEEKDAY(DATE(AnoCalendário,9,7),1),"ddd")</f>
        <v>qua</v>
      </c>
      <c r="K5" s="81" t="str">
        <f>TEXT(WEEKDAY(DATE(AnoCalendário,9,8),1),"ddd")</f>
        <v>qui</v>
      </c>
      <c r="L5" s="81" t="str">
        <f>TEXT(WEEKDAY(DATE(AnoCalendário,9,9),1),"ddd")</f>
        <v>sex</v>
      </c>
      <c r="M5" s="81" t="str">
        <f>TEXT(WEEKDAY(DATE(AnoCalendário,9,10),1),"ddd")</f>
        <v>sáb</v>
      </c>
      <c r="N5" s="81" t="str">
        <f>TEXT(WEEKDAY(DATE(AnoCalendário,9,11),1),"ddd")</f>
        <v>dom</v>
      </c>
      <c r="O5" s="81" t="str">
        <f>TEXT(WEEKDAY(DATE(AnoCalendário,9,12),1),"ddd")</f>
        <v>seg</v>
      </c>
      <c r="P5" s="81" t="str">
        <f>TEXT(WEEKDAY(DATE(AnoCalendário,9,13),1),"ddd")</f>
        <v>ter</v>
      </c>
      <c r="Q5" s="81" t="str">
        <f>TEXT(WEEKDAY(DATE(AnoCalendário,9,14),1),"ddd")</f>
        <v>qua</v>
      </c>
      <c r="R5" s="81" t="str">
        <f>TEXT(WEEKDAY(DATE(AnoCalendário,9,15),1),"ddd")</f>
        <v>qui</v>
      </c>
      <c r="S5" s="81" t="str">
        <f>TEXT(WEEKDAY(DATE(AnoCalendário,9,16),1),"ddd")</f>
        <v>sex</v>
      </c>
      <c r="T5" s="81" t="str">
        <f>TEXT(WEEKDAY(DATE(AnoCalendário,9,17),1),"ddd")</f>
        <v>sáb</v>
      </c>
      <c r="U5" s="81" t="str">
        <f>TEXT(WEEKDAY(DATE(AnoCalendário,9,18),1),"ddd")</f>
        <v>dom</v>
      </c>
      <c r="V5" s="81" t="str">
        <f>TEXT(WEEKDAY(DATE(AnoCalendário,9,19),1),"ddd")</f>
        <v>seg</v>
      </c>
      <c r="W5" s="81" t="str">
        <f>TEXT(WEEKDAY(DATE(AnoCalendário,9,20),1),"ddd")</f>
        <v>ter</v>
      </c>
      <c r="X5" s="81" t="str">
        <f>TEXT(WEEKDAY(DATE(AnoCalendário,9,21),1),"ddd")</f>
        <v>qua</v>
      </c>
      <c r="Y5" s="81" t="str">
        <f>TEXT(WEEKDAY(DATE(AnoCalendário,9,22),1),"ddd")</f>
        <v>qui</v>
      </c>
      <c r="Z5" s="81" t="str">
        <f>TEXT(WEEKDAY(DATE(AnoCalendário,9,23),1),"ddd")</f>
        <v>sex</v>
      </c>
      <c r="AA5" s="81" t="str">
        <f>TEXT(WEEKDAY(DATE(AnoCalendário,9,24),1),"ddd")</f>
        <v>sáb</v>
      </c>
      <c r="AB5" s="81" t="str">
        <f>TEXT(WEEKDAY(DATE(AnoCalendário,9,25),1),"ddd")</f>
        <v>dom</v>
      </c>
      <c r="AC5" s="81" t="str">
        <f>TEXT(WEEKDAY(DATE(AnoCalendário,9,26),1),"ddd")</f>
        <v>seg</v>
      </c>
      <c r="AD5" s="81" t="str">
        <f>TEXT(WEEKDAY(DATE(AnoCalendário,9,27),1),"ddd")</f>
        <v>ter</v>
      </c>
      <c r="AE5" s="81" t="str">
        <f>TEXT(WEEKDAY(DATE(AnoCalendário,9,28),1),"ddd")</f>
        <v>qua</v>
      </c>
      <c r="AF5" s="81" t="str">
        <f>TEXT(WEEKDAY(DATE(AnoCalendário,9,29),1),"ddd")</f>
        <v>qui</v>
      </c>
      <c r="AG5" s="81" t="str">
        <f>TEXT(WEEKDAY(DATE(AnoCalendário,9,30),1),"ddd")</f>
        <v>sex</v>
      </c>
      <c r="AH5" s="81"/>
      <c r="AI5" s="108" t="s">
        <v>41</v>
      </c>
      <c r="AJ5" s="108"/>
      <c r="AK5" s="108"/>
      <c r="AL5" s="108"/>
      <c r="AM5" s="108"/>
    </row>
    <row r="6" spans="1:40" s="4" customFormat="1" ht="14.25" customHeight="1" thickTop="1" thickBot="1" x14ac:dyDescent="0.3">
      <c r="B6" s="82" t="s">
        <v>34</v>
      </c>
      <c r="C6" s="83" t="s">
        <v>36</v>
      </c>
      <c r="D6" s="84" t="s">
        <v>0</v>
      </c>
      <c r="E6" s="84" t="s">
        <v>1</v>
      </c>
      <c r="F6" s="84" t="s">
        <v>2</v>
      </c>
      <c r="G6" s="84" t="s">
        <v>3</v>
      </c>
      <c r="H6" s="84" t="s">
        <v>4</v>
      </c>
      <c r="I6" s="84" t="s">
        <v>5</v>
      </c>
      <c r="J6" s="84" t="s">
        <v>6</v>
      </c>
      <c r="K6" s="84" t="s">
        <v>7</v>
      </c>
      <c r="L6" s="84" t="s">
        <v>8</v>
      </c>
      <c r="M6" s="84" t="s">
        <v>9</v>
      </c>
      <c r="N6" s="84" t="s">
        <v>10</v>
      </c>
      <c r="O6" s="84" t="s">
        <v>11</v>
      </c>
      <c r="P6" s="84" t="s">
        <v>12</v>
      </c>
      <c r="Q6" s="84" t="s">
        <v>13</v>
      </c>
      <c r="R6" s="84" t="s">
        <v>14</v>
      </c>
      <c r="S6" s="84" t="s">
        <v>15</v>
      </c>
      <c r="T6" s="84" t="s">
        <v>16</v>
      </c>
      <c r="U6" s="84" t="s">
        <v>17</v>
      </c>
      <c r="V6" s="84" t="s">
        <v>18</v>
      </c>
      <c r="W6" s="84" t="s">
        <v>19</v>
      </c>
      <c r="X6" s="84" t="s">
        <v>20</v>
      </c>
      <c r="Y6" s="84" t="s">
        <v>21</v>
      </c>
      <c r="Z6" s="84" t="s">
        <v>22</v>
      </c>
      <c r="AA6" s="84" t="s">
        <v>23</v>
      </c>
      <c r="AB6" s="84" t="s">
        <v>24</v>
      </c>
      <c r="AC6" s="84" t="s">
        <v>25</v>
      </c>
      <c r="AD6" s="84" t="s">
        <v>26</v>
      </c>
      <c r="AE6" s="84" t="s">
        <v>27</v>
      </c>
      <c r="AF6" s="84" t="s">
        <v>28</v>
      </c>
      <c r="AG6" s="84" t="s">
        <v>29</v>
      </c>
      <c r="AH6" s="84" t="s">
        <v>113</v>
      </c>
      <c r="AI6" s="85" t="s">
        <v>37</v>
      </c>
      <c r="AJ6" s="86" t="s">
        <v>39</v>
      </c>
      <c r="AK6" s="87" t="s">
        <v>38</v>
      </c>
      <c r="AL6" s="88" t="s">
        <v>31</v>
      </c>
      <c r="AM6" s="89" t="s">
        <v>40</v>
      </c>
      <c r="AN6" s="3"/>
    </row>
    <row r="7" spans="1:40" s="4" customFormat="1" ht="16.5" customHeight="1" thickTop="1" thickBot="1" x14ac:dyDescent="0.3">
      <c r="B7" s="90"/>
      <c r="C7" s="102" t="str">
        <f>IFERROR(VLOOKUP(PresençaemSetembro[[#This Row],[ID do Aluno]],ListadeAlunos[],18,FALSE),"")</f>
        <v/>
      </c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9"/>
      <c r="AG7" s="92"/>
      <c r="AH7" s="92"/>
      <c r="AI7" s="93">
        <f>COUNTIF(PresençaemSetembro[[#This Row],[1]:[ ]],Código1)</f>
        <v>0</v>
      </c>
      <c r="AJ7" s="94">
        <f>COUNTIF(PresençaemSetembro[[#This Row],[1]:[ ]],Código2)</f>
        <v>0</v>
      </c>
      <c r="AK7" s="94">
        <f>COUNTIF(PresençaemSetembro[[#This Row],[1]:[ ]],Código3)</f>
        <v>0</v>
      </c>
      <c r="AL7" s="94">
        <f>COUNTIF(PresençaemSetembro[[#This Row],[1]:[ ]],Código4)</f>
        <v>0</v>
      </c>
      <c r="AM7" s="93">
        <f>SUM(PresençaemSetembro[[#This Row],[E]:[U]])</f>
        <v>0</v>
      </c>
      <c r="AN7" s="3"/>
    </row>
    <row r="8" spans="1:40" s="4" customFormat="1" ht="16.5" customHeight="1" thickTop="1" thickBot="1" x14ac:dyDescent="0.3">
      <c r="B8" s="90"/>
      <c r="C8" s="103" t="str">
        <f>IFERROR(VLOOKUP(PresençaemSetembro[[#This Row],[ID do Aluno]],ListadeAlunos[],18,FALSE),"")</f>
        <v/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9"/>
      <c r="AG8" s="92"/>
      <c r="AH8" s="92"/>
      <c r="AI8" s="93">
        <f>COUNTIF(PresençaemSetembro[[#This Row],[1]:[ ]],Código1)</f>
        <v>0</v>
      </c>
      <c r="AJ8" s="94">
        <f>COUNTIF(PresençaemSetembro[[#This Row],[1]:[ ]],Código2)</f>
        <v>0</v>
      </c>
      <c r="AK8" s="94">
        <f>COUNTIF(PresençaemSetembro[[#This Row],[1]:[ ]],Código3)</f>
        <v>0</v>
      </c>
      <c r="AL8" s="94">
        <f>COUNTIF(PresençaemSetembro[[#This Row],[1]:[ ]],Código4)</f>
        <v>0</v>
      </c>
      <c r="AM8" s="93">
        <f>SUM(PresençaemSetembro[[#This Row],[E]:[U]])</f>
        <v>0</v>
      </c>
      <c r="AN8" s="3"/>
    </row>
    <row r="9" spans="1:40" s="1" customFormat="1" ht="16.5" customHeight="1" thickTop="1" thickBot="1" x14ac:dyDescent="0.3">
      <c r="B9" s="90"/>
      <c r="C9" s="103" t="str">
        <f>IFERROR(VLOOKUP(PresençaemSetembro[[#This Row],[ID do Aluno]],ListadeAlunos[],18,FALSE),"")</f>
        <v/>
      </c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9"/>
      <c r="AG9" s="92"/>
      <c r="AH9" s="92"/>
      <c r="AI9" s="93">
        <f>COUNTIF(PresençaemSetembro[[#This Row],[1]:[ ]],Código1)</f>
        <v>0</v>
      </c>
      <c r="AJ9" s="94">
        <f>COUNTIF(PresençaemSetembro[[#This Row],[1]:[ ]],Código2)</f>
        <v>0</v>
      </c>
      <c r="AK9" s="94">
        <f>COUNTIF(PresençaemSetembro[[#This Row],[1]:[ ]],Código3)</f>
        <v>0</v>
      </c>
      <c r="AL9" s="94">
        <f>COUNTIF(PresençaemSetembro[[#This Row],[1]:[ ]],Código4)</f>
        <v>0</v>
      </c>
      <c r="AM9" s="93">
        <f>SUM(PresençaemSetembro[[#This Row],[E]:[U]])</f>
        <v>0</v>
      </c>
      <c r="AN9" s="5"/>
    </row>
    <row r="10" spans="1:40" ht="16.5" customHeight="1" thickTop="1" thickBot="1" x14ac:dyDescent="0.3">
      <c r="B10" s="90"/>
      <c r="C10" s="103" t="str">
        <f>IFERROR(VLOOKUP(PresençaemSetembro[[#This Row],[ID do Aluno]],ListadeAlunos[],18,FALSE),"")</f>
        <v/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9"/>
      <c r="AG10" s="92"/>
      <c r="AH10" s="92"/>
      <c r="AI10" s="93">
        <f>COUNTIF(PresençaemSetembro[[#This Row],[1]:[ ]],Código1)</f>
        <v>0</v>
      </c>
      <c r="AJ10" s="94">
        <f>COUNTIF(PresençaemSetembro[[#This Row],[1]:[ ]],Código2)</f>
        <v>0</v>
      </c>
      <c r="AK10" s="94">
        <f>COUNTIF(PresençaemSetembro[[#This Row],[1]:[ ]],Código3)</f>
        <v>0</v>
      </c>
      <c r="AL10" s="94">
        <f>COUNTIF(PresençaemSetembro[[#This Row],[1]:[ ]],Código4)</f>
        <v>0</v>
      </c>
      <c r="AM10" s="93">
        <f>SUM(PresençaemSetembro[[#This Row],[E]:[U]])</f>
        <v>0</v>
      </c>
      <c r="AN10" s="7"/>
    </row>
    <row r="11" spans="1:40" ht="16.5" customHeight="1" thickTop="1" thickBot="1" x14ac:dyDescent="0.3">
      <c r="B11" s="90"/>
      <c r="C11" s="103" t="str">
        <f>IFERROR(VLOOKUP(PresençaemSetembro[[#This Row],[ID do Aluno]],ListadeAlunos[],18,FALSE),"")</f>
        <v/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9"/>
      <c r="AG11" s="92"/>
      <c r="AH11" s="92"/>
      <c r="AI11" s="93">
        <f>COUNTIF(PresençaemSetembro[[#This Row],[1]:[ ]],Código1)</f>
        <v>0</v>
      </c>
      <c r="AJ11" s="94">
        <f>COUNTIF(PresençaemSetembro[[#This Row],[1]:[ ]],Código2)</f>
        <v>0</v>
      </c>
      <c r="AK11" s="94">
        <f>COUNTIF(PresençaemSetembro[[#This Row],[1]:[ ]],Código3)</f>
        <v>0</v>
      </c>
      <c r="AL11" s="94">
        <f>COUNTIF(PresençaemSetembro[[#This Row],[1]:[ ]],Código4)</f>
        <v>0</v>
      </c>
      <c r="AM11" s="93">
        <f>SUM(PresençaemSetembro[[#This Row],[E]:[U]])</f>
        <v>0</v>
      </c>
      <c r="AN11" s="7"/>
    </row>
    <row r="12" spans="1:40" ht="16.5" customHeight="1" thickTop="1" thickBot="1" x14ac:dyDescent="0.3">
      <c r="B12" s="84"/>
      <c r="C12" s="89" t="s">
        <v>114</v>
      </c>
      <c r="D12" s="93">
        <f>COUNTIF(PresençaemSetembro[1],"U")+COUNTIF(PresençaemSetembro[1],"E")</f>
        <v>0</v>
      </c>
      <c r="E12" s="93">
        <f>COUNTIF(PresençaemSetembro[2],"U")+COUNTIF(PresençaemSetembro[2],"E")</f>
        <v>0</v>
      </c>
      <c r="F12" s="93">
        <f>COUNTIF(PresençaemSetembro[3],"U")+COUNTIF(PresençaemSetembro[3],"E")</f>
        <v>0</v>
      </c>
      <c r="G12" s="93">
        <f>COUNTIF(PresençaemSetembro[4],"U")+COUNTIF(PresençaemSetembro[4],"E")</f>
        <v>0</v>
      </c>
      <c r="H12" s="93">
        <f>COUNTIF(PresençaemSetembro[5],"U")+COUNTIF(PresençaemSetembro[5],"E")</f>
        <v>0</v>
      </c>
      <c r="I12" s="93">
        <f>COUNTIF(PresençaemSetembro[6],"U")+COUNTIF(PresençaemSetembro[6],"E")</f>
        <v>0</v>
      </c>
      <c r="J12" s="93">
        <f>COUNTIF(PresençaemSetembro[7],"U")+COUNTIF(PresençaemSetembro[7],"E")</f>
        <v>0</v>
      </c>
      <c r="K12" s="93">
        <f>COUNTIF(PresençaemSetembro[8],"U")+COUNTIF(PresençaemSetembro[8],"E")</f>
        <v>0</v>
      </c>
      <c r="L12" s="93">
        <f>COUNTIF(PresençaemSetembro[9],"U")+COUNTIF(PresençaemSetembro[9],"E")</f>
        <v>0</v>
      </c>
      <c r="M12" s="93">
        <f>COUNTIF(PresençaemSetembro[10],"U")+COUNTIF(PresençaemSetembro[10],"E")</f>
        <v>0</v>
      </c>
      <c r="N12" s="93">
        <f>COUNTIF(PresençaemSetembro[11],"U")+COUNTIF(PresençaemSetembro[11],"E")</f>
        <v>0</v>
      </c>
      <c r="O12" s="93">
        <f>COUNTIF(PresençaemSetembro[12],"U")+COUNTIF(PresençaemSetembro[12],"E")</f>
        <v>0</v>
      </c>
      <c r="P12" s="93">
        <f>COUNTIF(PresençaemSetembro[13],"U")+COUNTIF(PresençaemSetembro[13],"E")</f>
        <v>0</v>
      </c>
      <c r="Q12" s="93">
        <f>COUNTIF(PresençaemSetembro[14],"U")+COUNTIF(PresençaemSetembro[14],"E")</f>
        <v>0</v>
      </c>
      <c r="R12" s="93">
        <f>COUNTIF(PresençaemSetembro[15],"U")+COUNTIF(PresençaemSetembro[15],"E")</f>
        <v>0</v>
      </c>
      <c r="S12" s="93">
        <f>COUNTIF(PresençaemSetembro[16],"U")+COUNTIF(PresençaemSetembro[16],"E")</f>
        <v>0</v>
      </c>
      <c r="T12" s="93">
        <f>COUNTIF(PresençaemSetembro[17],"U")+COUNTIF(PresençaemSetembro[17],"E")</f>
        <v>0</v>
      </c>
      <c r="U12" s="93">
        <f>COUNTIF(PresençaemSetembro[18],"U")+COUNTIF(PresençaemSetembro[18],"E")</f>
        <v>0</v>
      </c>
      <c r="V12" s="93">
        <f>COUNTIF(PresençaemSetembro[19],"U")+COUNTIF(PresençaemSetembro[19],"E")</f>
        <v>0</v>
      </c>
      <c r="W12" s="93">
        <f>COUNTIF(PresençaemSetembro[20],"U")+COUNTIF(PresençaemSetembro[20],"E")</f>
        <v>0</v>
      </c>
      <c r="X12" s="93">
        <f>COUNTIF(PresençaemSetembro[21],"U")+COUNTIF(PresençaemSetembro[21],"E")</f>
        <v>0</v>
      </c>
      <c r="Y12" s="93">
        <f>COUNTIF(PresençaemSetembro[22],"U")+COUNTIF(PresençaemSetembro[22],"E")</f>
        <v>0</v>
      </c>
      <c r="Z12" s="93">
        <f>COUNTIF(PresençaemSetembro[23],"U")+COUNTIF(PresençaemSetembro[23],"E")</f>
        <v>0</v>
      </c>
      <c r="AA12" s="93">
        <f>COUNTIF(PresençaemSetembro[24],"U")+COUNTIF(PresençaemSetembro[24],"E")</f>
        <v>0</v>
      </c>
      <c r="AB12" s="93">
        <f>COUNTIF(PresençaemSetembro[25],"U")+COUNTIF(PresençaemSetembro[25],"E")</f>
        <v>0</v>
      </c>
      <c r="AC12" s="93">
        <f>COUNTIF(PresençaemSetembro[26],"U")+COUNTIF(PresençaemSetembro[26],"E")</f>
        <v>0</v>
      </c>
      <c r="AD12" s="93">
        <f>COUNTIF(PresençaemSetembro[27],"U")+COUNTIF(PresençaemSetembro[27],"E")</f>
        <v>0</v>
      </c>
      <c r="AE12" s="93">
        <f>COUNTIF(PresençaemSetembro[28],"U")+COUNTIF(PresençaemSetembro[28],"E")</f>
        <v>0</v>
      </c>
      <c r="AF12" s="93">
        <f>COUNTIF(PresençaemSetembro[29],"U")+COUNTIF(PresençaemSetembro[29],"E")</f>
        <v>0</v>
      </c>
      <c r="AG12" s="93">
        <f>COUNTIF(PresençaemSetembro[30],"U")+COUNTIF(PresençaemSetembro[30],"E")</f>
        <v>0</v>
      </c>
      <c r="AH12" s="93">
        <f>COUNTIF(PresençaemSetembro[[ ]],"U")+COUNTIF(PresençaemSetembro[[ ]],"E")</f>
        <v>0</v>
      </c>
      <c r="AI12" s="93">
        <f>SUBTOTAL(109,PresençaemSetembro[T])</f>
        <v>0</v>
      </c>
      <c r="AJ12" s="93">
        <f>SUBTOTAL(109,PresençaemSetembro[E])</f>
        <v>0</v>
      </c>
      <c r="AK12" s="93">
        <f>SUBTOTAL(109,PresençaemSetembro[U])</f>
        <v>0</v>
      </c>
      <c r="AL12" s="93">
        <f>SUBTOTAL(109,PresençaemSetembro[P])</f>
        <v>0</v>
      </c>
      <c r="AM12" s="93">
        <f>SUBTOTAL(109,PresençaemSetembro[Dias de Ausência])</f>
        <v>0</v>
      </c>
    </row>
    <row r="13" spans="1:40" ht="16.5" customHeight="1" thickTop="1" x14ac:dyDescent="0.25"/>
    <row r="14" spans="1:40" ht="16.5" customHeight="1" x14ac:dyDescent="0.25"/>
    <row r="15" spans="1:40" ht="16.5" customHeight="1" x14ac:dyDescent="0.25"/>
    <row r="16" spans="1:40" ht="16.5" customHeight="1" x14ac:dyDescent="0.25"/>
    <row r="17" ht="16.5" customHeight="1" x14ac:dyDescent="0.25"/>
    <row r="18" ht="16.5" customHeight="1" x14ac:dyDescent="0.25"/>
    <row r="19" ht="16.5" customHeight="1" x14ac:dyDescent="0.25"/>
    <row r="20" ht="16.5" customHeight="1" x14ac:dyDescent="0.25"/>
    <row r="21" ht="16.5" customHeight="1" x14ac:dyDescent="0.25"/>
    <row r="22" ht="16.5" customHeight="1" x14ac:dyDescent="0.25"/>
    <row r="23" ht="16.5" customHeight="1" x14ac:dyDescent="0.25"/>
    <row r="24" ht="16.5" customHeight="1" x14ac:dyDescent="0.25"/>
    <row r="25" ht="16.5" customHeight="1" x14ac:dyDescent="0.25"/>
    <row r="26" ht="16.5" customHeight="1" x14ac:dyDescent="0.25"/>
    <row r="27" ht="16.5" customHeight="1" x14ac:dyDescent="0.25"/>
    <row r="28" ht="16.5" customHeight="1" x14ac:dyDescent="0.25"/>
    <row r="29" ht="16.5" customHeight="1" x14ac:dyDescent="0.25"/>
    <row r="30" ht="16.5" customHeight="1" x14ac:dyDescent="0.25"/>
    <row r="31" ht="16.5" customHeight="1" x14ac:dyDescent="0.25"/>
    <row r="32" ht="16.5" customHeight="1" x14ac:dyDescent="0.25"/>
    <row r="33" ht="16.5" customHeight="1" x14ac:dyDescent="0.25"/>
    <row r="34" ht="16.5" customHeight="1" x14ac:dyDescent="0.25"/>
    <row r="35" ht="16.5" customHeight="1" x14ac:dyDescent="0.25"/>
    <row r="36" ht="16.5" customHeight="1" x14ac:dyDescent="0.25"/>
    <row r="37" ht="16.5" customHeight="1" x14ac:dyDescent="0.25"/>
    <row r="38" ht="16.5" customHeight="1" x14ac:dyDescent="0.25"/>
    <row r="39" ht="16.5" customHeight="1" x14ac:dyDescent="0.25"/>
    <row r="40" ht="16.5" customHeight="1" x14ac:dyDescent="0.25"/>
    <row r="41" ht="16.5" customHeight="1" x14ac:dyDescent="0.25"/>
    <row r="42" ht="16.5" customHeight="1" x14ac:dyDescent="0.25"/>
    <row r="43" ht="16.5" customHeight="1" x14ac:dyDescent="0.25"/>
    <row r="44" ht="16.5" customHeight="1" x14ac:dyDescent="0.25"/>
    <row r="45" ht="16.5" customHeight="1" x14ac:dyDescent="0.25"/>
    <row r="46" ht="16.5" customHeight="1" x14ac:dyDescent="0.25"/>
    <row r="47" ht="16.5" customHeight="1" x14ac:dyDescent="0.25"/>
    <row r="48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2" ht="16.5" customHeight="1" x14ac:dyDescent="0.25"/>
    <row r="63" ht="16.5" customHeight="1" x14ac:dyDescent="0.25"/>
    <row r="64" ht="16.5" customHeight="1" x14ac:dyDescent="0.25"/>
    <row r="65" ht="16.5" customHeight="1" x14ac:dyDescent="0.25"/>
    <row r="66" ht="16.5" customHeight="1" x14ac:dyDescent="0.25"/>
    <row r="67" ht="16.5" customHeight="1" x14ac:dyDescent="0.25"/>
    <row r="68" ht="16.5" customHeight="1" x14ac:dyDescent="0.25"/>
    <row r="69" ht="16.5" customHeight="1" x14ac:dyDescent="0.25"/>
    <row r="70" ht="16.5" customHeight="1" x14ac:dyDescent="0.25"/>
    <row r="71" ht="16.5" customHeight="1" x14ac:dyDescent="0.25"/>
    <row r="72" ht="16.5" customHeight="1" x14ac:dyDescent="0.25"/>
    <row r="73" ht="16.5" customHeight="1" x14ac:dyDescent="0.25"/>
    <row r="74" ht="16.5" customHeight="1" x14ac:dyDescent="0.25"/>
    <row r="75" ht="16.5" customHeight="1" x14ac:dyDescent="0.25"/>
    <row r="76" ht="16.5" customHeight="1" x14ac:dyDescent="0.25"/>
    <row r="77" ht="16.5" customHeight="1" x14ac:dyDescent="0.25"/>
    <row r="78" ht="16.5" customHeight="1" x14ac:dyDescent="0.25"/>
    <row r="79" ht="16.5" customHeight="1" x14ac:dyDescent="0.25"/>
    <row r="80" ht="16.5" customHeight="1" x14ac:dyDescent="0.25"/>
    <row r="81" ht="16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  <row r="87" ht="16.5" customHeight="1" x14ac:dyDescent="0.25"/>
    <row r="88" ht="16.5" customHeight="1" x14ac:dyDescent="0.25"/>
    <row r="89" ht="16.5" customHeight="1" x14ac:dyDescent="0.25"/>
    <row r="90" ht="16.5" customHeight="1" x14ac:dyDescent="0.25"/>
    <row r="91" ht="16.5" customHeight="1" x14ac:dyDescent="0.25"/>
    <row r="92" ht="16.5" customHeight="1" x14ac:dyDescent="0.25"/>
    <row r="93" ht="16.5" customHeight="1" x14ac:dyDescent="0.25"/>
    <row r="94" ht="16.5" customHeight="1" x14ac:dyDescent="0.25"/>
    <row r="95" ht="16.5" customHeight="1" x14ac:dyDescent="0.25"/>
    <row r="96" ht="16.5" customHeight="1" x14ac:dyDescent="0.25"/>
    <row r="97" ht="16.5" customHeight="1" x14ac:dyDescent="0.25"/>
    <row r="98" ht="16.5" customHeight="1" x14ac:dyDescent="0.25"/>
    <row r="99" ht="16.5" customHeight="1" x14ac:dyDescent="0.25"/>
    <row r="100" ht="16.5" customHeight="1" x14ac:dyDescent="0.25"/>
    <row r="101" ht="16.5" customHeight="1" x14ac:dyDescent="0.25"/>
    <row r="102" ht="16.5" customHeight="1" x14ac:dyDescent="0.25"/>
    <row r="103" ht="16.5" customHeight="1" x14ac:dyDescent="0.25"/>
    <row r="104" ht="16.5" customHeight="1" x14ac:dyDescent="0.25"/>
    <row r="105" ht="16.5" customHeight="1" x14ac:dyDescent="0.25"/>
    <row r="106" ht="16.5" customHeight="1" x14ac:dyDescent="0.25"/>
    <row r="107" ht="16.5" customHeight="1" x14ac:dyDescent="0.25"/>
    <row r="108" ht="16.5" customHeight="1" x14ac:dyDescent="0.25"/>
    <row r="109" ht="16.5" customHeight="1" x14ac:dyDescent="0.25"/>
    <row r="110" ht="16.5" customHeight="1" x14ac:dyDescent="0.25"/>
    <row r="111" ht="16.5" customHeight="1" x14ac:dyDescent="0.25"/>
    <row r="112" ht="16.5" customHeight="1" x14ac:dyDescent="0.25"/>
    <row r="113" ht="16.5" customHeight="1" x14ac:dyDescent="0.25"/>
    <row r="114" ht="16.5" customHeight="1" x14ac:dyDescent="0.25"/>
    <row r="115" ht="16.5" customHeight="1" x14ac:dyDescent="0.25"/>
    <row r="116" ht="16.5" customHeight="1" x14ac:dyDescent="0.25"/>
    <row r="117" ht="16.5" customHeight="1" x14ac:dyDescent="0.25"/>
    <row r="118" ht="16.5" customHeight="1" x14ac:dyDescent="0.25"/>
    <row r="119" ht="16.5" customHeight="1" x14ac:dyDescent="0.25"/>
    <row r="120" ht="16.5" customHeight="1" x14ac:dyDescent="0.25"/>
    <row r="121" ht="16.5" customHeight="1" x14ac:dyDescent="0.25"/>
    <row r="122" ht="16.5" customHeight="1" x14ac:dyDescent="0.25"/>
    <row r="123" ht="16.5" customHeight="1" x14ac:dyDescent="0.25"/>
    <row r="124" ht="16.5" customHeight="1" x14ac:dyDescent="0.25"/>
    <row r="125" ht="16.5" customHeight="1" x14ac:dyDescent="0.25"/>
    <row r="126" ht="16.5" customHeight="1" x14ac:dyDescent="0.25"/>
    <row r="127" ht="16.5" customHeight="1" x14ac:dyDescent="0.25"/>
    <row r="128" ht="16.5" customHeight="1" x14ac:dyDescent="0.25"/>
    <row r="129" ht="16.5" customHeight="1" x14ac:dyDescent="0.25"/>
    <row r="130" ht="16.5" customHeight="1" x14ac:dyDescent="0.25"/>
    <row r="131" ht="16.5" customHeight="1" x14ac:dyDescent="0.25"/>
    <row r="132" ht="16.5" customHeight="1" x14ac:dyDescent="0.25"/>
    <row r="133" ht="16.5" customHeight="1" x14ac:dyDescent="0.25"/>
    <row r="134" ht="16.5" customHeight="1" x14ac:dyDescent="0.25"/>
    <row r="135" ht="16.5" customHeight="1" x14ac:dyDescent="0.25"/>
    <row r="136" ht="16.5" customHeight="1" x14ac:dyDescent="0.25"/>
    <row r="137" ht="16.5" customHeight="1" x14ac:dyDescent="0.25"/>
    <row r="138" ht="16.5" customHeight="1" x14ac:dyDescent="0.25"/>
    <row r="139" ht="16.5" customHeight="1" x14ac:dyDescent="0.25"/>
    <row r="140" ht="16.5" customHeight="1" x14ac:dyDescent="0.25"/>
    <row r="141" ht="16.5" customHeight="1" x14ac:dyDescent="0.25"/>
    <row r="142" ht="16.5" customHeight="1" x14ac:dyDescent="0.25"/>
    <row r="143" ht="16.5" customHeight="1" x14ac:dyDescent="0.25"/>
    <row r="144" ht="16.5" customHeight="1" x14ac:dyDescent="0.25"/>
    <row r="145" ht="16.5" customHeight="1" x14ac:dyDescent="0.25"/>
    <row r="146" ht="16.5" customHeight="1" x14ac:dyDescent="0.25"/>
    <row r="147" ht="16.5" customHeight="1" x14ac:dyDescent="0.25"/>
    <row r="148" ht="16.5" customHeight="1" x14ac:dyDescent="0.25"/>
    <row r="149" ht="16.5" customHeight="1" x14ac:dyDescent="0.25"/>
    <row r="150" ht="16.5" customHeight="1" x14ac:dyDescent="0.25"/>
    <row r="151" ht="16.5" customHeight="1" x14ac:dyDescent="0.25"/>
    <row r="152" ht="16.5" customHeight="1" x14ac:dyDescent="0.25"/>
    <row r="153" ht="16.5" customHeight="1" x14ac:dyDescent="0.25"/>
    <row r="154" ht="16.5" customHeight="1" x14ac:dyDescent="0.25"/>
    <row r="155" ht="16.5" customHeight="1" x14ac:dyDescent="0.25"/>
    <row r="156" ht="16.5" customHeight="1" x14ac:dyDescent="0.25"/>
    <row r="157" ht="16.5" customHeight="1" x14ac:dyDescent="0.25"/>
    <row r="158" ht="16.5" customHeight="1" x14ac:dyDescent="0.25"/>
    <row r="159" ht="16.5" customHeight="1" x14ac:dyDescent="0.25"/>
    <row r="160" ht="16.5" customHeight="1" x14ac:dyDescent="0.25"/>
    <row r="161" ht="16.5" customHeight="1" x14ac:dyDescent="0.25"/>
    <row r="162" ht="16.5" customHeight="1" x14ac:dyDescent="0.25"/>
    <row r="163" ht="16.5" customHeight="1" x14ac:dyDescent="0.25"/>
    <row r="164" ht="16.5" customHeight="1" x14ac:dyDescent="0.25"/>
    <row r="165" ht="16.5" customHeight="1" x14ac:dyDescent="0.25"/>
    <row r="166" ht="16.5" customHeight="1" x14ac:dyDescent="0.25"/>
    <row r="167" ht="16.5" customHeight="1" x14ac:dyDescent="0.25"/>
    <row r="168" ht="16.5" customHeight="1" x14ac:dyDescent="0.25"/>
    <row r="169" ht="16.5" customHeight="1" x14ac:dyDescent="0.25"/>
    <row r="170" ht="16.5" customHeight="1" x14ac:dyDescent="0.25"/>
    <row r="171" ht="16.5" customHeight="1" x14ac:dyDescent="0.25"/>
    <row r="172" ht="16.5" customHeight="1" x14ac:dyDescent="0.25"/>
    <row r="173" ht="16.5" customHeight="1" x14ac:dyDescent="0.25"/>
    <row r="174" ht="16.5" customHeight="1" x14ac:dyDescent="0.25"/>
    <row r="175" ht="16.5" customHeight="1" x14ac:dyDescent="0.25"/>
    <row r="176" ht="16.5" customHeight="1" x14ac:dyDescent="0.25"/>
    <row r="177" ht="16.5" customHeight="1" x14ac:dyDescent="0.25"/>
    <row r="178" ht="16.5" customHeight="1" x14ac:dyDescent="0.25"/>
    <row r="179" ht="16.5" customHeight="1" x14ac:dyDescent="0.25"/>
    <row r="180" ht="16.5" customHeight="1" x14ac:dyDescent="0.25"/>
    <row r="181" ht="16.5" customHeight="1" x14ac:dyDescent="0.25"/>
    <row r="182" ht="16.5" customHeight="1" x14ac:dyDescent="0.25"/>
    <row r="183" ht="16.5" customHeight="1" x14ac:dyDescent="0.25"/>
    <row r="184" ht="16.5" customHeight="1" x14ac:dyDescent="0.25"/>
    <row r="185" ht="16.5" customHeight="1" x14ac:dyDescent="0.25"/>
    <row r="186" ht="16.5" customHeight="1" x14ac:dyDescent="0.25"/>
    <row r="187" ht="16.5" customHeight="1" x14ac:dyDescent="0.25"/>
    <row r="188" ht="16.5" customHeight="1" x14ac:dyDescent="0.25"/>
    <row r="189" ht="16.5" customHeight="1" x14ac:dyDescent="0.25"/>
    <row r="190" ht="16.5" customHeight="1" x14ac:dyDescent="0.25"/>
    <row r="191" ht="16.5" customHeight="1" x14ac:dyDescent="0.25"/>
    <row r="192" ht="16.5" customHeight="1" x14ac:dyDescent="0.25"/>
    <row r="193" ht="16.5" customHeight="1" x14ac:dyDescent="0.25"/>
    <row r="194" ht="16.5" customHeight="1" x14ac:dyDescent="0.25"/>
    <row r="195" ht="16.5" customHeight="1" x14ac:dyDescent="0.25"/>
    <row r="196" ht="16.5" customHeight="1" x14ac:dyDescent="0.25"/>
    <row r="197" ht="16.5" customHeight="1" x14ac:dyDescent="0.25"/>
    <row r="198" ht="16.5" customHeight="1" x14ac:dyDescent="0.25"/>
    <row r="199" ht="16.5" customHeight="1" x14ac:dyDescent="0.25"/>
    <row r="200" ht="16.5" customHeight="1" x14ac:dyDescent="0.25"/>
    <row r="201" ht="16.5" customHeight="1" x14ac:dyDescent="0.25"/>
    <row r="202" ht="16.5" customHeight="1" x14ac:dyDescent="0.25"/>
    <row r="203" ht="16.5" customHeight="1" x14ac:dyDescent="0.25"/>
    <row r="204" ht="16.5" customHeight="1" x14ac:dyDescent="0.25"/>
    <row r="205" ht="16.5" customHeight="1" x14ac:dyDescent="0.25"/>
    <row r="206" ht="16.5" customHeight="1" x14ac:dyDescent="0.25"/>
    <row r="207" ht="16.5" customHeight="1" x14ac:dyDescent="0.25"/>
    <row r="208" ht="16.5" customHeight="1" x14ac:dyDescent="0.25"/>
    <row r="209" ht="16.5" customHeight="1" x14ac:dyDescent="0.25"/>
    <row r="210" ht="16.5" customHeight="1" x14ac:dyDescent="0.25"/>
    <row r="211" ht="16.5" customHeight="1" x14ac:dyDescent="0.25"/>
    <row r="212" ht="16.5" customHeight="1" x14ac:dyDescent="0.25"/>
    <row r="213" ht="16.5" customHeight="1" x14ac:dyDescent="0.25"/>
    <row r="214" ht="16.5" customHeight="1" x14ac:dyDescent="0.25"/>
    <row r="215" ht="16.5" customHeight="1" x14ac:dyDescent="0.25"/>
    <row r="216" ht="16.5" customHeight="1" x14ac:dyDescent="0.25"/>
    <row r="217" ht="16.5" customHeight="1" x14ac:dyDescent="0.25"/>
    <row r="218" ht="16.5" customHeight="1" x14ac:dyDescent="0.25"/>
    <row r="219" ht="16.5" customHeight="1" x14ac:dyDescent="0.25"/>
    <row r="220" ht="16.5" customHeight="1" x14ac:dyDescent="0.25"/>
    <row r="221" ht="16.5" customHeight="1" x14ac:dyDescent="0.25"/>
    <row r="222" ht="16.5" customHeight="1" x14ac:dyDescent="0.25"/>
    <row r="223" ht="16.5" customHeight="1" x14ac:dyDescent="0.25"/>
    <row r="224" ht="16.5" customHeight="1" x14ac:dyDescent="0.25"/>
    <row r="225" ht="16.5" customHeight="1" x14ac:dyDescent="0.25"/>
    <row r="226" ht="16.5" customHeight="1" x14ac:dyDescent="0.25"/>
    <row r="227" ht="16.5" customHeight="1" x14ac:dyDescent="0.25"/>
    <row r="228" ht="16.5" customHeight="1" x14ac:dyDescent="0.25"/>
    <row r="229" ht="16.5" customHeight="1" x14ac:dyDescent="0.25"/>
    <row r="230" ht="16.5" customHeight="1" x14ac:dyDescent="0.25"/>
    <row r="231" ht="16.5" customHeight="1" x14ac:dyDescent="0.25"/>
    <row r="232" ht="16.5" customHeight="1" x14ac:dyDescent="0.25"/>
    <row r="233" ht="16.5" customHeight="1" x14ac:dyDescent="0.25"/>
    <row r="234" ht="16.5" customHeight="1" x14ac:dyDescent="0.25"/>
    <row r="235" ht="16.5" customHeight="1" x14ac:dyDescent="0.25"/>
    <row r="236" ht="16.5" customHeight="1" x14ac:dyDescent="0.25"/>
    <row r="237" ht="16.5" customHeight="1" x14ac:dyDescent="0.25"/>
    <row r="238" ht="16.5" customHeight="1" x14ac:dyDescent="0.25"/>
    <row r="239" ht="16.5" customHeight="1" x14ac:dyDescent="0.25"/>
    <row r="240" ht="16.5" customHeight="1" x14ac:dyDescent="0.25"/>
    <row r="241" ht="16.5" customHeight="1" x14ac:dyDescent="0.25"/>
    <row r="242" ht="16.5" customHeight="1" x14ac:dyDescent="0.25"/>
    <row r="243" ht="16.5" customHeight="1" x14ac:dyDescent="0.25"/>
    <row r="244" ht="16.5" customHeight="1" x14ac:dyDescent="0.25"/>
    <row r="245" ht="16.5" customHeight="1" x14ac:dyDescent="0.25"/>
    <row r="246" ht="16.5" customHeight="1" x14ac:dyDescent="0.25"/>
    <row r="247" ht="16.5" customHeight="1" x14ac:dyDescent="0.25"/>
    <row r="248" ht="16.5" customHeight="1" x14ac:dyDescent="0.25"/>
    <row r="249" ht="16.5" customHeight="1" x14ac:dyDescent="0.25"/>
    <row r="250" ht="16.5" customHeight="1" x14ac:dyDescent="0.25"/>
    <row r="251" ht="16.5" customHeight="1" x14ac:dyDescent="0.25"/>
    <row r="252" ht="16.5" customHeight="1" x14ac:dyDescent="0.25"/>
    <row r="253" ht="16.5" customHeight="1" x14ac:dyDescent="0.25"/>
    <row r="254" ht="16.5" customHeight="1" x14ac:dyDescent="0.25"/>
    <row r="255" ht="16.5" customHeight="1" x14ac:dyDescent="0.25"/>
    <row r="256" ht="16.5" customHeight="1" x14ac:dyDescent="0.25"/>
    <row r="257" ht="16.5" customHeight="1" x14ac:dyDescent="0.25"/>
    <row r="258" ht="16.5" customHeight="1" x14ac:dyDescent="0.25"/>
    <row r="259" ht="16.5" customHeight="1" x14ac:dyDescent="0.25"/>
    <row r="260" ht="16.5" customHeight="1" x14ac:dyDescent="0.25"/>
    <row r="261" ht="16.5" customHeight="1" x14ac:dyDescent="0.25"/>
    <row r="262" ht="16.5" customHeight="1" x14ac:dyDescent="0.25"/>
    <row r="263" ht="16.5" customHeight="1" x14ac:dyDescent="0.25"/>
    <row r="264" ht="16.5" customHeight="1" x14ac:dyDescent="0.25"/>
    <row r="265" ht="16.5" customHeight="1" x14ac:dyDescent="0.25"/>
    <row r="266" ht="16.5" customHeight="1" x14ac:dyDescent="0.25"/>
    <row r="267" ht="16.5" customHeight="1" x14ac:dyDescent="0.25"/>
    <row r="268" ht="16.5" customHeight="1" x14ac:dyDescent="0.25"/>
    <row r="269" ht="16.5" customHeight="1" x14ac:dyDescent="0.25"/>
    <row r="270" ht="16.5" customHeight="1" x14ac:dyDescent="0.25"/>
    <row r="271" ht="16.5" customHeight="1" x14ac:dyDescent="0.25"/>
    <row r="272" ht="16.5" customHeight="1" x14ac:dyDescent="0.25"/>
    <row r="273" ht="16.5" customHeight="1" x14ac:dyDescent="0.25"/>
    <row r="274" ht="16.5" customHeight="1" x14ac:dyDescent="0.25"/>
    <row r="275" ht="16.5" customHeight="1" x14ac:dyDescent="0.25"/>
    <row r="276" ht="16.5" customHeight="1" x14ac:dyDescent="0.25"/>
    <row r="277" ht="16.5" customHeight="1" x14ac:dyDescent="0.25"/>
    <row r="278" ht="16.5" customHeight="1" x14ac:dyDescent="0.25"/>
    <row r="279" ht="16.5" customHeight="1" x14ac:dyDescent="0.25"/>
    <row r="280" ht="16.5" customHeight="1" x14ac:dyDescent="0.25"/>
    <row r="281" ht="16.5" customHeight="1" x14ac:dyDescent="0.25"/>
    <row r="282" ht="16.5" customHeight="1" x14ac:dyDescent="0.25"/>
    <row r="283" ht="16.5" customHeight="1" x14ac:dyDescent="0.25"/>
    <row r="284" ht="16.5" customHeight="1" x14ac:dyDescent="0.25"/>
    <row r="285" ht="16.5" customHeight="1" x14ac:dyDescent="0.25"/>
    <row r="286" ht="16.5" customHeight="1" x14ac:dyDescent="0.25"/>
    <row r="287" ht="16.5" customHeight="1" x14ac:dyDescent="0.25"/>
    <row r="288" ht="16.5" customHeight="1" x14ac:dyDescent="0.25"/>
    <row r="289" ht="16.5" customHeight="1" x14ac:dyDescent="0.25"/>
    <row r="290" ht="16.5" customHeight="1" x14ac:dyDescent="0.25"/>
    <row r="291" ht="16.5" customHeight="1" x14ac:dyDescent="0.25"/>
    <row r="292" ht="16.5" customHeight="1" x14ac:dyDescent="0.25"/>
    <row r="293" ht="16.5" customHeight="1" x14ac:dyDescent="0.25"/>
    <row r="294" ht="16.5" customHeight="1" x14ac:dyDescent="0.25"/>
    <row r="295" ht="16.5" customHeight="1" x14ac:dyDescent="0.25"/>
    <row r="296" ht="16.5" customHeight="1" x14ac:dyDescent="0.25"/>
    <row r="297" ht="16.5" customHeight="1" x14ac:dyDescent="0.25"/>
    <row r="298" ht="16.5" customHeight="1" x14ac:dyDescent="0.25"/>
    <row r="299" ht="16.5" customHeight="1" x14ac:dyDescent="0.25"/>
    <row r="300" ht="16.5" customHeight="1" x14ac:dyDescent="0.25"/>
    <row r="301" ht="16.5" customHeight="1" x14ac:dyDescent="0.25"/>
    <row r="302" ht="16.5" customHeight="1" x14ac:dyDescent="0.25"/>
    <row r="303" ht="16.5" customHeight="1" x14ac:dyDescent="0.25"/>
    <row r="304" ht="16.5" customHeight="1" x14ac:dyDescent="0.25"/>
    <row r="305" ht="16.5" customHeight="1" x14ac:dyDescent="0.25"/>
    <row r="306" ht="16.5" customHeight="1" x14ac:dyDescent="0.25"/>
    <row r="307" ht="16.5" customHeight="1" x14ac:dyDescent="0.25"/>
    <row r="308" ht="16.5" customHeight="1" x14ac:dyDescent="0.25"/>
    <row r="309" ht="16.5" customHeight="1" x14ac:dyDescent="0.25"/>
    <row r="310" ht="16.5" customHeight="1" x14ac:dyDescent="0.25"/>
    <row r="311" ht="16.5" customHeight="1" x14ac:dyDescent="0.25"/>
    <row r="312" ht="16.5" customHeight="1" x14ac:dyDescent="0.25"/>
    <row r="313" ht="16.5" customHeight="1" x14ac:dyDescent="0.25"/>
    <row r="314" ht="16.5" customHeight="1" x14ac:dyDescent="0.25"/>
    <row r="315" ht="16.5" customHeight="1" x14ac:dyDescent="0.25"/>
    <row r="316" ht="16.5" customHeight="1" x14ac:dyDescent="0.25"/>
    <row r="317" ht="16.5" customHeight="1" x14ac:dyDescent="0.25"/>
    <row r="318" ht="16.5" customHeight="1" x14ac:dyDescent="0.25"/>
    <row r="319" ht="16.5" customHeight="1" x14ac:dyDescent="0.25"/>
    <row r="320" ht="16.5" customHeight="1" x14ac:dyDescent="0.25"/>
    <row r="321" ht="16.5" customHeight="1" x14ac:dyDescent="0.25"/>
    <row r="322" ht="16.5" customHeight="1" x14ac:dyDescent="0.25"/>
    <row r="323" ht="16.5" customHeight="1" x14ac:dyDescent="0.25"/>
    <row r="324" ht="16.5" customHeight="1" x14ac:dyDescent="0.25"/>
    <row r="325" ht="16.5" customHeight="1" x14ac:dyDescent="0.25"/>
    <row r="326" ht="16.5" customHeight="1" x14ac:dyDescent="0.25"/>
    <row r="327" ht="16.5" customHeight="1" x14ac:dyDescent="0.25"/>
    <row r="328" ht="16.5" customHeight="1" x14ac:dyDescent="0.25"/>
    <row r="329" ht="16.5" customHeight="1" x14ac:dyDescent="0.25"/>
    <row r="330" ht="16.5" customHeight="1" x14ac:dyDescent="0.25"/>
    <row r="331" ht="16.5" customHeight="1" x14ac:dyDescent="0.25"/>
    <row r="332" ht="16.5" customHeight="1" x14ac:dyDescent="0.25"/>
    <row r="333" ht="16.5" customHeight="1" x14ac:dyDescent="0.25"/>
    <row r="334" ht="16.5" customHeight="1" x14ac:dyDescent="0.25"/>
    <row r="335" ht="16.5" customHeight="1" x14ac:dyDescent="0.25"/>
    <row r="336" ht="16.5" customHeight="1" x14ac:dyDescent="0.25"/>
    <row r="337" ht="16.5" customHeight="1" x14ac:dyDescent="0.25"/>
    <row r="338" ht="16.5" customHeight="1" x14ac:dyDescent="0.25"/>
    <row r="339" ht="16.5" customHeight="1" x14ac:dyDescent="0.25"/>
    <row r="340" ht="16.5" customHeight="1" x14ac:dyDescent="0.25"/>
    <row r="341" ht="16.5" customHeight="1" x14ac:dyDescent="0.25"/>
    <row r="342" ht="16.5" customHeight="1" x14ac:dyDescent="0.25"/>
    <row r="343" ht="16.5" customHeight="1" x14ac:dyDescent="0.25"/>
    <row r="344" ht="16.5" customHeight="1" x14ac:dyDescent="0.25"/>
    <row r="345" ht="16.5" customHeight="1" x14ac:dyDescent="0.25"/>
    <row r="346" ht="16.5" customHeight="1" x14ac:dyDescent="0.25"/>
  </sheetData>
  <sheetProtection formatCells="0" formatColumns="0" formatRows="0" insertColumns="0" insertRows="0" insertHyperlinks="0" deleteColumns="0" deleteRows="0" sort="0" autoFilter="0" pivotTables="0"/>
  <mergeCells count="1">
    <mergeCell ref="AI5:AM5"/>
  </mergeCells>
  <conditionalFormatting sqref="D7:AF11">
    <cfRule type="expression" dxfId="82" priority="1" stopIfTrue="1">
      <formula>D7=Código2</formula>
    </cfRule>
    <cfRule type="expression" dxfId="81" priority="2" stopIfTrue="1">
      <formula>D7=Código5</formula>
    </cfRule>
    <cfRule type="expression" dxfId="80" priority="3" stopIfTrue="1">
      <formula>D7=Código4</formula>
    </cfRule>
    <cfRule type="expression" dxfId="79" priority="4" stopIfTrue="1">
      <formula>D7=Código3</formula>
    </cfRule>
    <cfRule type="expression" dxfId="78" priority="5" stopIfTrue="1">
      <formula>D7=Código1</formula>
    </cfRule>
  </conditionalFormatting>
  <conditionalFormatting sqref="AG7:AH11">
    <cfRule type="expression" dxfId="77" priority="8" stopIfTrue="1">
      <formula>AG7=Código5</formula>
    </cfRule>
    <cfRule type="expression" dxfId="76" priority="9" stopIfTrue="1">
      <formula>AG7=Código4</formula>
    </cfRule>
    <cfRule type="expression" dxfId="75" priority="10" stopIfTrue="1">
      <formula>AG7=Código3</formula>
    </cfRule>
    <cfRule type="expression" dxfId="74" priority="11" stopIfTrue="1">
      <formula>AG7=Código1</formula>
    </cfRule>
  </conditionalFormatting>
  <conditionalFormatting sqref="AG7:AI11">
    <cfRule type="expression" dxfId="73" priority="7" stopIfTrue="1">
      <formula>AG7=Código2</formula>
    </cfRule>
  </conditionalFormatting>
  <conditionalFormatting sqref="AM7:AM11">
    <cfRule type="dataBar" priority="6">
      <dataBar>
        <cfvo type="min"/>
        <cfvo type="num" val="31"/>
        <color theme="4"/>
      </dataBar>
      <extLst>
        <ext xmlns:x14="http://schemas.microsoft.com/office/spreadsheetml/2009/9/main" uri="{B025F937-C7B1-47D3-B67F-A62EFF666E3E}">
          <x14:id>{FCDE13DD-578E-4A81-A4F7-3A892C41EF0D}</x14:id>
        </ext>
      </extLst>
    </cfRule>
  </conditionalFormatting>
  <dataValidations disablePrompts="1" count="1">
    <dataValidation type="list" errorStyle="warning" allowBlank="1" showInputMessage="1" showErrorMessage="1" errorTitle="Ops!" error="A ID de Aluno que você inseriu não está na planilha Lista de Alunos. Você pode clicar em Sim para usar a ID de Aluno inserida, mas ela não estará disponível na planilha Relatório de Presença dos Alunos." sqref="B7:B11" xr:uid="{00000000-0002-0000-0400-000000000000}">
      <formula1>IDAluno</formula1>
    </dataValidation>
  </dataValidations>
  <printOptions horizontalCentered="1"/>
  <pageMargins left="0.5" right="0.5" top="0.75" bottom="0.75" header="0.3" footer="0.3"/>
  <pageSetup paperSize="9" scale="59" fitToHeight="0" orientation="landscape" verticalDpi="1200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CDE13DD-578E-4A81-A4F7-3A892C41EF0D}">
            <x14:dataBar minLength="0" maxLength="100" border="1" negativeBarBorderColorSameAsPositive="0">
              <x14:cfvo type="autoMin"/>
              <x14:cfvo type="num">
                <xm:f>31</xm:f>
              </x14:cfvo>
              <x14:borderColor theme="4"/>
              <x14:negativeFillColor rgb="FFFF0000"/>
              <x14:negativeBorderColor rgb="FFFF0000"/>
              <x14:axisColor rgb="FF000000"/>
            </x14:dataBar>
          </x14:cfRule>
          <xm:sqref>AM7:AM11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  <pageSetUpPr fitToPage="1"/>
  </sheetPr>
  <dimension ref="A1:AN346"/>
  <sheetViews>
    <sheetView showGridLines="0" zoomScaleNormal="100" workbookViewId="0">
      <pane xSplit="3" ySplit="6" topLeftCell="D7" activePane="bottomRight" state="frozen"/>
      <selection activeCell="Y16" sqref="Y16"/>
      <selection pane="topRight" activeCell="Y16" sqref="Y16"/>
      <selection pane="bottomLeft" activeCell="Y16" sqref="Y16"/>
      <selection pane="bottomRight" activeCell="K1" sqref="K1"/>
    </sheetView>
  </sheetViews>
  <sheetFormatPr defaultColWidth="9.109375" defaultRowHeight="15" customHeight="1" x14ac:dyDescent="0.25"/>
  <cols>
    <col min="1" max="1" width="2.6640625" style="8" customWidth="1"/>
    <col min="2" max="2" width="11.88671875" style="8" bestFit="1" customWidth="1"/>
    <col min="3" max="3" width="28.88671875" style="9" customWidth="1"/>
    <col min="4" max="34" width="5" style="7" customWidth="1"/>
    <col min="35" max="35" width="4.6640625" style="6" customWidth="1"/>
    <col min="36" max="36" width="4.6640625" style="7" customWidth="1"/>
    <col min="37" max="38" width="4.6640625" style="8" customWidth="1"/>
    <col min="39" max="39" width="19.5546875" style="8" bestFit="1" customWidth="1"/>
    <col min="40" max="16384" width="9.109375" style="8"/>
  </cols>
  <sheetData>
    <row r="1" spans="1:40" s="1" customFormat="1" ht="42" customHeight="1" x14ac:dyDescent="0.25">
      <c r="A1" s="21" t="s">
        <v>88</v>
      </c>
      <c r="B1" s="22"/>
      <c r="C1" s="22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2"/>
      <c r="AD1" s="22"/>
      <c r="AE1" s="22"/>
      <c r="AF1" s="22"/>
      <c r="AG1" s="24"/>
      <c r="AH1" s="22"/>
      <c r="AI1" s="22"/>
      <c r="AJ1" s="25"/>
      <c r="AK1" s="22"/>
      <c r="AL1" s="34" t="s">
        <v>72</v>
      </c>
      <c r="AM1" s="35">
        <f>AnoCalendário</f>
        <v>2016</v>
      </c>
    </row>
    <row r="2" spans="1:40" customFormat="1" ht="13.2" x14ac:dyDescent="0.25"/>
    <row r="3" spans="1:40" s="17" customFormat="1" ht="12.75" customHeight="1" x14ac:dyDescent="0.25">
      <c r="C3" s="27" t="str">
        <f>TextodaChavedeCor</f>
        <v xml:space="preserve">CHAVE COLORIDA </v>
      </c>
      <c r="D3" s="28" t="str">
        <f>Código1</f>
        <v>T</v>
      </c>
      <c r="E3" s="41" t="str">
        <f>TextodeCódigo1</f>
        <v>Atrasado</v>
      </c>
      <c r="F3" s="33"/>
      <c r="H3" s="29" t="str">
        <f>Código2</f>
        <v>E</v>
      </c>
      <c r="I3" s="33" t="str">
        <f>TextodeCódigo2</f>
        <v>Dispensado</v>
      </c>
      <c r="L3" s="30" t="str">
        <f>Código3</f>
        <v>F</v>
      </c>
      <c r="M3" s="33" t="str">
        <f>TextodeCódigo3</f>
        <v>faltou a aula</v>
      </c>
      <c r="P3" s="31" t="str">
        <f>Código4</f>
        <v>P</v>
      </c>
      <c r="Q3" s="33" t="str">
        <f>TextodeCódigo4</f>
        <v>Presente</v>
      </c>
      <c r="T3" s="32" t="str">
        <f>Código5</f>
        <v>N</v>
      </c>
      <c r="U3" s="33" t="str">
        <f>TextodeCódigo5</f>
        <v>Sem Aula</v>
      </c>
      <c r="W3"/>
      <c r="X3"/>
      <c r="Y3"/>
      <c r="AD3" s="16"/>
      <c r="AE3" s="16"/>
      <c r="AH3" s="18"/>
      <c r="AI3" s="19"/>
      <c r="AK3" s="20"/>
    </row>
    <row r="4" spans="1:40" customFormat="1" ht="16.5" customHeight="1" x14ac:dyDescent="0.25"/>
    <row r="5" spans="1:40" s="2" customFormat="1" ht="18" customHeight="1" thickBot="1" x14ac:dyDescent="0.35">
      <c r="B5" s="79">
        <f>DATE(AnoCalendário,10,1)</f>
        <v>42644</v>
      </c>
      <c r="C5" s="80"/>
      <c r="D5" s="81" t="str">
        <f>TEXT(WEEKDAY(DATE(AnoCalendário,10,1),1),"ddd")</f>
        <v>sáb</v>
      </c>
      <c r="E5" s="81" t="str">
        <f>TEXT(WEEKDAY(DATE(AnoCalendário,10,2),1),"ddd")</f>
        <v>dom</v>
      </c>
      <c r="F5" s="81" t="str">
        <f>TEXT(WEEKDAY(DATE(AnoCalendário,10,3),1),"ddd")</f>
        <v>seg</v>
      </c>
      <c r="G5" s="81" t="str">
        <f>TEXT(WEEKDAY(DATE(AnoCalendário,10,4),1),"ddd")</f>
        <v>ter</v>
      </c>
      <c r="H5" s="81" t="str">
        <f>TEXT(WEEKDAY(DATE(AnoCalendário,10,5),1),"ddd")</f>
        <v>qua</v>
      </c>
      <c r="I5" s="81" t="str">
        <f>TEXT(WEEKDAY(DATE(AnoCalendário,10,6),1),"ddd")</f>
        <v>qui</v>
      </c>
      <c r="J5" s="81" t="str">
        <f>TEXT(WEEKDAY(DATE(AnoCalendário,10,7),1),"ddd")</f>
        <v>sex</v>
      </c>
      <c r="K5" s="81" t="str">
        <f>TEXT(WEEKDAY(DATE(AnoCalendário,10,8),1),"ddd")</f>
        <v>sáb</v>
      </c>
      <c r="L5" s="81" t="str">
        <f>TEXT(WEEKDAY(DATE(AnoCalendário,10,9),1),"ddd")</f>
        <v>dom</v>
      </c>
      <c r="M5" s="81" t="str">
        <f>TEXT(WEEKDAY(DATE(AnoCalendário,10,10),1),"ddd")</f>
        <v>seg</v>
      </c>
      <c r="N5" s="81" t="str">
        <f>TEXT(WEEKDAY(DATE(AnoCalendário,10,11),1),"ddd")</f>
        <v>ter</v>
      </c>
      <c r="O5" s="81" t="str">
        <f>TEXT(WEEKDAY(DATE(AnoCalendário,10,12),1),"ddd")</f>
        <v>qua</v>
      </c>
      <c r="P5" s="81" t="str">
        <f>TEXT(WEEKDAY(DATE(AnoCalendário,10,13),1),"ddd")</f>
        <v>qui</v>
      </c>
      <c r="Q5" s="81" t="str">
        <f>TEXT(WEEKDAY(DATE(AnoCalendário,10,14),1),"ddd")</f>
        <v>sex</v>
      </c>
      <c r="R5" s="81" t="str">
        <f>TEXT(WEEKDAY(DATE(AnoCalendário,10,15),1),"ddd")</f>
        <v>sáb</v>
      </c>
      <c r="S5" s="81" t="str">
        <f>TEXT(WEEKDAY(DATE(AnoCalendário,10,16),1),"ddd")</f>
        <v>dom</v>
      </c>
      <c r="T5" s="81" t="str">
        <f>TEXT(WEEKDAY(DATE(AnoCalendário,10,17),1),"ddd")</f>
        <v>seg</v>
      </c>
      <c r="U5" s="81" t="str">
        <f>TEXT(WEEKDAY(DATE(AnoCalendário,10,18),1),"ddd")</f>
        <v>ter</v>
      </c>
      <c r="V5" s="81" t="str">
        <f>TEXT(WEEKDAY(DATE(AnoCalendário,10,19),1),"ddd")</f>
        <v>qua</v>
      </c>
      <c r="W5" s="81" t="str">
        <f>TEXT(WEEKDAY(DATE(AnoCalendário,10,20),1),"ddd")</f>
        <v>qui</v>
      </c>
      <c r="X5" s="81" t="str">
        <f>TEXT(WEEKDAY(DATE(AnoCalendário,10,21),1),"ddd")</f>
        <v>sex</v>
      </c>
      <c r="Y5" s="81" t="str">
        <f>TEXT(WEEKDAY(DATE(AnoCalendário,10,22),1),"ddd")</f>
        <v>sáb</v>
      </c>
      <c r="Z5" s="81" t="str">
        <f>TEXT(WEEKDAY(DATE(AnoCalendário,10,23),1),"ddd")</f>
        <v>dom</v>
      </c>
      <c r="AA5" s="81" t="str">
        <f>TEXT(WEEKDAY(DATE(AnoCalendário,10,24),1),"ddd")</f>
        <v>seg</v>
      </c>
      <c r="AB5" s="81" t="str">
        <f>TEXT(WEEKDAY(DATE(AnoCalendário,10,25),1),"ddd")</f>
        <v>ter</v>
      </c>
      <c r="AC5" s="81" t="str">
        <f>TEXT(WEEKDAY(DATE(AnoCalendário,10,26),1),"ddd")</f>
        <v>qua</v>
      </c>
      <c r="AD5" s="81" t="str">
        <f>TEXT(WEEKDAY(DATE(AnoCalendário,10,27),1),"ddd")</f>
        <v>qui</v>
      </c>
      <c r="AE5" s="81" t="str">
        <f>TEXT(WEEKDAY(DATE(AnoCalendário,10,28),1),"ddd")</f>
        <v>sex</v>
      </c>
      <c r="AF5" s="81" t="str">
        <f>TEXT(WEEKDAY(DATE(AnoCalendário,10,29),1),"ddd")</f>
        <v>sáb</v>
      </c>
      <c r="AG5" s="81" t="str">
        <f>TEXT(WEEKDAY(DATE(AnoCalendário,10,30),1),"ddd")</f>
        <v>dom</v>
      </c>
      <c r="AH5" s="81" t="str">
        <f>TEXT(WEEKDAY(DATE(AnoCalendário,10,31),1),"ddd")</f>
        <v>seg</v>
      </c>
      <c r="AI5" s="108" t="s">
        <v>41</v>
      </c>
      <c r="AJ5" s="108"/>
      <c r="AK5" s="108"/>
      <c r="AL5" s="108"/>
      <c r="AM5" s="108"/>
    </row>
    <row r="6" spans="1:40" s="4" customFormat="1" ht="14.25" customHeight="1" thickTop="1" thickBot="1" x14ac:dyDescent="0.3">
      <c r="B6" s="82" t="s">
        <v>34</v>
      </c>
      <c r="C6" s="83" t="s">
        <v>36</v>
      </c>
      <c r="D6" s="84" t="s">
        <v>0</v>
      </c>
      <c r="E6" s="84" t="s">
        <v>1</v>
      </c>
      <c r="F6" s="84" t="s">
        <v>2</v>
      </c>
      <c r="G6" s="84" t="s">
        <v>3</v>
      </c>
      <c r="H6" s="84" t="s">
        <v>4</v>
      </c>
      <c r="I6" s="84" t="s">
        <v>5</v>
      </c>
      <c r="J6" s="84" t="s">
        <v>6</v>
      </c>
      <c r="K6" s="84" t="s">
        <v>7</v>
      </c>
      <c r="L6" s="84" t="s">
        <v>8</v>
      </c>
      <c r="M6" s="84" t="s">
        <v>9</v>
      </c>
      <c r="N6" s="84" t="s">
        <v>10</v>
      </c>
      <c r="O6" s="84" t="s">
        <v>11</v>
      </c>
      <c r="P6" s="84" t="s">
        <v>12</v>
      </c>
      <c r="Q6" s="84" t="s">
        <v>13</v>
      </c>
      <c r="R6" s="84" t="s">
        <v>14</v>
      </c>
      <c r="S6" s="84" t="s">
        <v>15</v>
      </c>
      <c r="T6" s="84" t="s">
        <v>16</v>
      </c>
      <c r="U6" s="84" t="s">
        <v>17</v>
      </c>
      <c r="V6" s="84" t="s">
        <v>18</v>
      </c>
      <c r="W6" s="84" t="s">
        <v>19</v>
      </c>
      <c r="X6" s="84" t="s">
        <v>20</v>
      </c>
      <c r="Y6" s="84" t="s">
        <v>21</v>
      </c>
      <c r="Z6" s="84" t="s">
        <v>22</v>
      </c>
      <c r="AA6" s="84" t="s">
        <v>23</v>
      </c>
      <c r="AB6" s="84" t="s">
        <v>24</v>
      </c>
      <c r="AC6" s="84" t="s">
        <v>25</v>
      </c>
      <c r="AD6" s="84" t="s">
        <v>26</v>
      </c>
      <c r="AE6" s="84" t="s">
        <v>27</v>
      </c>
      <c r="AF6" s="84" t="s">
        <v>28</v>
      </c>
      <c r="AG6" s="84" t="s">
        <v>29</v>
      </c>
      <c r="AH6" s="84" t="s">
        <v>30</v>
      </c>
      <c r="AI6" s="85" t="s">
        <v>37</v>
      </c>
      <c r="AJ6" s="86" t="s">
        <v>39</v>
      </c>
      <c r="AK6" s="87" t="s">
        <v>38</v>
      </c>
      <c r="AL6" s="88" t="s">
        <v>31</v>
      </c>
      <c r="AM6" s="89" t="s">
        <v>40</v>
      </c>
      <c r="AN6" s="3"/>
    </row>
    <row r="7" spans="1:40" s="4" customFormat="1" ht="16.5" customHeight="1" thickTop="1" thickBot="1" x14ac:dyDescent="0.3">
      <c r="B7" s="90"/>
      <c r="C7" s="102" t="str">
        <f>IFERROR(VLOOKUP(PresençaemOutubro[[#This Row],[ID do Aluno]],ListadeAlunos[],18,FALSE),"")</f>
        <v/>
      </c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9"/>
      <c r="AG7" s="92"/>
      <c r="AH7" s="92"/>
      <c r="AI7" s="93">
        <f>COUNTIF(PresençaemOutubro[[#This Row],[1]:[31]],Código1)</f>
        <v>0</v>
      </c>
      <c r="AJ7" s="94">
        <f>COUNTIF(PresençaemOutubro[[#This Row],[1]:[31]],Código2)</f>
        <v>0</v>
      </c>
      <c r="AK7" s="94">
        <f>COUNTIF(PresençaemOutubro[[#This Row],[1]:[31]],Código3)</f>
        <v>0</v>
      </c>
      <c r="AL7" s="94">
        <f>COUNTIF(PresençaemOutubro[[#This Row],[1]:[31]],Código4)</f>
        <v>0</v>
      </c>
      <c r="AM7" s="93">
        <f>SUM(PresençaemOutubro[[#This Row],[E]:[U]])</f>
        <v>0</v>
      </c>
      <c r="AN7" s="3"/>
    </row>
    <row r="8" spans="1:40" s="4" customFormat="1" ht="16.5" customHeight="1" thickTop="1" thickBot="1" x14ac:dyDescent="0.3">
      <c r="B8" s="90"/>
      <c r="C8" s="103" t="str">
        <f>IFERROR(VLOOKUP(PresençaemOutubro[[#This Row],[ID do Aluno]],ListadeAlunos[],18,FALSE),"")</f>
        <v/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9"/>
      <c r="AG8" s="92"/>
      <c r="AH8" s="92"/>
      <c r="AI8" s="93">
        <f>COUNTIF(PresençaemOutubro[[#This Row],[1]:[31]],Código1)</f>
        <v>0</v>
      </c>
      <c r="AJ8" s="94">
        <f>COUNTIF(PresençaemOutubro[[#This Row],[1]:[31]],Código2)</f>
        <v>0</v>
      </c>
      <c r="AK8" s="94">
        <f>COUNTIF(PresençaemOutubro[[#This Row],[1]:[31]],Código3)</f>
        <v>0</v>
      </c>
      <c r="AL8" s="94">
        <f>COUNTIF(PresençaemOutubro[[#This Row],[1]:[31]],Código4)</f>
        <v>0</v>
      </c>
      <c r="AM8" s="93">
        <f>SUM(PresençaemOutubro[[#This Row],[E]:[U]])</f>
        <v>0</v>
      </c>
      <c r="AN8" s="3"/>
    </row>
    <row r="9" spans="1:40" s="1" customFormat="1" ht="16.5" customHeight="1" thickTop="1" thickBot="1" x14ac:dyDescent="0.3">
      <c r="B9" s="90"/>
      <c r="C9" s="103" t="str">
        <f>IFERROR(VLOOKUP(PresençaemOutubro[[#This Row],[ID do Aluno]],ListadeAlunos[],18,FALSE),"")</f>
        <v/>
      </c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9"/>
      <c r="AG9" s="92"/>
      <c r="AH9" s="92"/>
      <c r="AI9" s="93">
        <f>COUNTIF(PresençaemOutubro[[#This Row],[1]:[31]],Código1)</f>
        <v>0</v>
      </c>
      <c r="AJ9" s="94">
        <f>COUNTIF(PresençaemOutubro[[#This Row],[1]:[31]],Código2)</f>
        <v>0</v>
      </c>
      <c r="AK9" s="94">
        <f>COUNTIF(PresençaemOutubro[[#This Row],[1]:[31]],Código3)</f>
        <v>0</v>
      </c>
      <c r="AL9" s="94">
        <f>COUNTIF(PresençaemOutubro[[#This Row],[1]:[31]],Código4)</f>
        <v>0</v>
      </c>
      <c r="AM9" s="93">
        <f>SUM(PresençaemOutubro[[#This Row],[E]:[U]])</f>
        <v>0</v>
      </c>
      <c r="AN9" s="5"/>
    </row>
    <row r="10" spans="1:40" ht="16.5" customHeight="1" thickTop="1" thickBot="1" x14ac:dyDescent="0.3">
      <c r="B10" s="90"/>
      <c r="C10" s="103" t="str">
        <f>IFERROR(VLOOKUP(PresençaemOutubro[[#This Row],[ID do Aluno]],ListadeAlunos[],18,FALSE),"")</f>
        <v/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9"/>
      <c r="AG10" s="92"/>
      <c r="AH10" s="92"/>
      <c r="AI10" s="93">
        <f>COUNTIF(PresençaemOutubro[[#This Row],[1]:[31]],Código1)</f>
        <v>0</v>
      </c>
      <c r="AJ10" s="94">
        <f>COUNTIF(PresençaemOutubro[[#This Row],[1]:[31]],Código2)</f>
        <v>0</v>
      </c>
      <c r="AK10" s="94">
        <f>COUNTIF(PresençaemOutubro[[#This Row],[1]:[31]],Código3)</f>
        <v>0</v>
      </c>
      <c r="AL10" s="94">
        <f>COUNTIF(PresençaemOutubro[[#This Row],[1]:[31]],Código4)</f>
        <v>0</v>
      </c>
      <c r="AM10" s="93">
        <f>SUM(PresençaemOutubro[[#This Row],[E]:[U]])</f>
        <v>0</v>
      </c>
      <c r="AN10" s="7"/>
    </row>
    <row r="11" spans="1:40" ht="16.5" customHeight="1" thickTop="1" thickBot="1" x14ac:dyDescent="0.3">
      <c r="B11" s="90"/>
      <c r="C11" s="103" t="str">
        <f>IFERROR(VLOOKUP(PresençaemOutubro[[#This Row],[ID do Aluno]],ListadeAlunos[],18,FALSE),"")</f>
        <v/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9"/>
      <c r="AG11" s="92"/>
      <c r="AH11" s="92"/>
      <c r="AI11" s="93">
        <f>COUNTIF(PresençaemOutubro[[#This Row],[1]:[31]],Código1)</f>
        <v>0</v>
      </c>
      <c r="AJ11" s="94">
        <f>COUNTIF(PresençaemOutubro[[#This Row],[1]:[31]],Código2)</f>
        <v>0</v>
      </c>
      <c r="AK11" s="94">
        <f>COUNTIF(PresençaemOutubro[[#This Row],[1]:[31]],Código3)</f>
        <v>0</v>
      </c>
      <c r="AL11" s="94">
        <f>COUNTIF(PresençaemOutubro[[#This Row],[1]:[31]],Código4)</f>
        <v>0</v>
      </c>
      <c r="AM11" s="93">
        <f>SUM(PresençaemOutubro[[#This Row],[E]:[U]])</f>
        <v>0</v>
      </c>
      <c r="AN11" s="7"/>
    </row>
    <row r="12" spans="1:40" ht="16.5" customHeight="1" thickTop="1" thickBot="1" x14ac:dyDescent="0.3">
      <c r="B12" s="84"/>
      <c r="C12" s="89" t="s">
        <v>114</v>
      </c>
      <c r="D12" s="93">
        <f>COUNTIF(PresençaemOutubro[1],"U")+COUNTIF(PresençaemOutubro[1],"E")</f>
        <v>0</v>
      </c>
      <c r="E12" s="93">
        <f>COUNTIF(PresençaemOutubro[2],"U")+COUNTIF(PresençaemOutubro[2],"E")</f>
        <v>0</v>
      </c>
      <c r="F12" s="93">
        <f>COUNTIF(PresençaemOutubro[3],"U")+COUNTIF(PresençaemOutubro[3],"E")</f>
        <v>0</v>
      </c>
      <c r="G12" s="93">
        <f>COUNTIF(PresençaemOutubro[4],"U")+COUNTIF(PresençaemOutubro[4],"E")</f>
        <v>0</v>
      </c>
      <c r="H12" s="93">
        <f>COUNTIF(PresençaemOutubro[5],"U")+COUNTIF(PresençaemOutubro[5],"E")</f>
        <v>0</v>
      </c>
      <c r="I12" s="93">
        <f>COUNTIF(PresençaemOutubro[6],"U")+COUNTIF(PresençaemOutubro[6],"E")</f>
        <v>0</v>
      </c>
      <c r="J12" s="93">
        <f>COUNTIF(PresençaemOutubro[7],"U")+COUNTIF(PresençaemOutubro[7],"E")</f>
        <v>0</v>
      </c>
      <c r="K12" s="93">
        <f>COUNTIF(PresençaemOutubro[8],"U")+COUNTIF(PresençaemOutubro[8],"E")</f>
        <v>0</v>
      </c>
      <c r="L12" s="93">
        <f>COUNTIF(PresençaemOutubro[9],"U")+COUNTIF(PresençaemOutubro[9],"E")</f>
        <v>0</v>
      </c>
      <c r="M12" s="93">
        <f>COUNTIF(PresençaemOutubro[10],"U")+COUNTIF(PresençaemOutubro[10],"E")</f>
        <v>0</v>
      </c>
      <c r="N12" s="93">
        <f>COUNTIF(PresençaemOutubro[11],"U")+COUNTIF(PresençaemOutubro[11],"E")</f>
        <v>0</v>
      </c>
      <c r="O12" s="93">
        <f>COUNTIF(PresençaemOutubro[12],"U")+COUNTIF(PresençaemOutubro[12],"E")</f>
        <v>0</v>
      </c>
      <c r="P12" s="93">
        <f>COUNTIF(PresençaemOutubro[13],"U")+COUNTIF(PresençaemOutubro[13],"E")</f>
        <v>0</v>
      </c>
      <c r="Q12" s="93">
        <f>COUNTIF(PresençaemOutubro[14],"U")+COUNTIF(PresençaemOutubro[14],"E")</f>
        <v>0</v>
      </c>
      <c r="R12" s="93">
        <f>COUNTIF(PresençaemOutubro[15],"U")+COUNTIF(PresençaemOutubro[15],"E")</f>
        <v>0</v>
      </c>
      <c r="S12" s="93">
        <f>COUNTIF(PresençaemOutubro[16],"U")+COUNTIF(PresençaemOutubro[16],"E")</f>
        <v>0</v>
      </c>
      <c r="T12" s="93">
        <f>COUNTIF(PresençaemOutubro[17],"U")+COUNTIF(PresençaemOutubro[17],"E")</f>
        <v>0</v>
      </c>
      <c r="U12" s="93">
        <f>COUNTIF(PresençaemOutubro[18],"U")+COUNTIF(PresençaemOutubro[18],"E")</f>
        <v>0</v>
      </c>
      <c r="V12" s="93">
        <f>COUNTIF(PresençaemOutubro[19],"U")+COUNTIF(PresençaemOutubro[19],"E")</f>
        <v>0</v>
      </c>
      <c r="W12" s="93">
        <f>COUNTIF(PresençaemOutubro[20],"U")+COUNTIF(PresençaemOutubro[20],"E")</f>
        <v>0</v>
      </c>
      <c r="X12" s="93">
        <f>COUNTIF(PresençaemOutubro[21],"U")+COUNTIF(PresençaemOutubro[21],"E")</f>
        <v>0</v>
      </c>
      <c r="Y12" s="93">
        <f>COUNTIF(PresençaemOutubro[22],"U")+COUNTIF(PresençaemOutubro[22],"E")</f>
        <v>0</v>
      </c>
      <c r="Z12" s="93">
        <f>COUNTIF(PresençaemOutubro[23],"U")+COUNTIF(PresençaemOutubro[23],"E")</f>
        <v>0</v>
      </c>
      <c r="AA12" s="93">
        <f>COUNTIF(PresençaemOutubro[24],"U")+COUNTIF(PresençaemOutubro[24],"E")</f>
        <v>0</v>
      </c>
      <c r="AB12" s="93">
        <f>COUNTIF(PresençaemOutubro[25],"U")+COUNTIF(PresençaemOutubro[25],"E")</f>
        <v>0</v>
      </c>
      <c r="AC12" s="93">
        <f>COUNTIF(PresençaemOutubro[26],"U")+COUNTIF(PresençaemOutubro[26],"E")</f>
        <v>0</v>
      </c>
      <c r="AD12" s="93">
        <f>COUNTIF(PresençaemOutubro[27],"U")+COUNTIF(PresençaemOutubro[27],"E")</f>
        <v>0</v>
      </c>
      <c r="AE12" s="93">
        <f>COUNTIF(PresençaemOutubro[28],"U")+COUNTIF(PresençaemOutubro[28],"E")</f>
        <v>0</v>
      </c>
      <c r="AF12" s="93">
        <f>COUNTIF(PresençaemOutubro[29],"U")+COUNTIF(PresençaemOutubro[29],"E")</f>
        <v>0</v>
      </c>
      <c r="AG12" s="93">
        <f>COUNTIF(PresençaemOutubro[30],"U")+COUNTIF(PresençaemOutubro[30],"E")</f>
        <v>0</v>
      </c>
      <c r="AH12" s="93">
        <f>COUNTIF(PresençaemOutubro[31],"U")+COUNTIF(PresençaemOutubro[31],"E")</f>
        <v>0</v>
      </c>
      <c r="AI12" s="93">
        <f>SUBTOTAL(109,PresençaemOutubro[T])</f>
        <v>0</v>
      </c>
      <c r="AJ12" s="93">
        <f>SUBTOTAL(109,PresençaemOutubro[E])</f>
        <v>0</v>
      </c>
      <c r="AK12" s="93">
        <f>SUBTOTAL(109,PresençaemOutubro[U])</f>
        <v>0</v>
      </c>
      <c r="AL12" s="93">
        <f>SUBTOTAL(109,PresençaemOutubro[P])</f>
        <v>0</v>
      </c>
      <c r="AM12" s="93">
        <f>SUBTOTAL(109,PresençaemOutubro[Dias de Ausência])</f>
        <v>0</v>
      </c>
    </row>
    <row r="13" spans="1:40" ht="16.5" customHeight="1" thickTop="1" x14ac:dyDescent="0.25"/>
    <row r="14" spans="1:40" ht="16.5" customHeight="1" x14ac:dyDescent="0.25"/>
    <row r="15" spans="1:40" ht="16.5" customHeight="1" x14ac:dyDescent="0.25"/>
    <row r="16" spans="1:40" ht="16.5" customHeight="1" x14ac:dyDescent="0.25"/>
    <row r="17" ht="16.5" customHeight="1" x14ac:dyDescent="0.25"/>
    <row r="18" ht="16.5" customHeight="1" x14ac:dyDescent="0.25"/>
    <row r="19" ht="16.5" customHeight="1" x14ac:dyDescent="0.25"/>
    <row r="20" ht="16.5" customHeight="1" x14ac:dyDescent="0.25"/>
    <row r="21" ht="16.5" customHeight="1" x14ac:dyDescent="0.25"/>
    <row r="22" ht="16.5" customHeight="1" x14ac:dyDescent="0.25"/>
    <row r="23" ht="16.5" customHeight="1" x14ac:dyDescent="0.25"/>
    <row r="24" ht="16.5" customHeight="1" x14ac:dyDescent="0.25"/>
    <row r="25" ht="16.5" customHeight="1" x14ac:dyDescent="0.25"/>
    <row r="26" ht="16.5" customHeight="1" x14ac:dyDescent="0.25"/>
    <row r="27" ht="16.5" customHeight="1" x14ac:dyDescent="0.25"/>
    <row r="28" ht="16.5" customHeight="1" x14ac:dyDescent="0.25"/>
    <row r="29" ht="16.5" customHeight="1" x14ac:dyDescent="0.25"/>
    <row r="30" ht="16.5" customHeight="1" x14ac:dyDescent="0.25"/>
    <row r="31" ht="16.5" customHeight="1" x14ac:dyDescent="0.25"/>
    <row r="32" ht="16.5" customHeight="1" x14ac:dyDescent="0.25"/>
    <row r="33" ht="16.5" customHeight="1" x14ac:dyDescent="0.25"/>
    <row r="34" ht="16.5" customHeight="1" x14ac:dyDescent="0.25"/>
    <row r="35" ht="16.5" customHeight="1" x14ac:dyDescent="0.25"/>
    <row r="36" ht="16.5" customHeight="1" x14ac:dyDescent="0.25"/>
    <row r="37" ht="16.5" customHeight="1" x14ac:dyDescent="0.25"/>
    <row r="38" ht="16.5" customHeight="1" x14ac:dyDescent="0.25"/>
    <row r="39" ht="16.5" customHeight="1" x14ac:dyDescent="0.25"/>
    <row r="40" ht="16.5" customHeight="1" x14ac:dyDescent="0.25"/>
    <row r="41" ht="16.5" customHeight="1" x14ac:dyDescent="0.25"/>
    <row r="42" ht="16.5" customHeight="1" x14ac:dyDescent="0.25"/>
    <row r="43" ht="16.5" customHeight="1" x14ac:dyDescent="0.25"/>
    <row r="44" ht="16.5" customHeight="1" x14ac:dyDescent="0.25"/>
    <row r="45" ht="16.5" customHeight="1" x14ac:dyDescent="0.25"/>
    <row r="46" ht="16.5" customHeight="1" x14ac:dyDescent="0.25"/>
    <row r="47" ht="16.5" customHeight="1" x14ac:dyDescent="0.25"/>
    <row r="48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2" ht="16.5" customHeight="1" x14ac:dyDescent="0.25"/>
    <row r="63" ht="16.5" customHeight="1" x14ac:dyDescent="0.25"/>
    <row r="64" ht="16.5" customHeight="1" x14ac:dyDescent="0.25"/>
    <row r="65" ht="16.5" customHeight="1" x14ac:dyDescent="0.25"/>
    <row r="66" ht="16.5" customHeight="1" x14ac:dyDescent="0.25"/>
    <row r="67" ht="16.5" customHeight="1" x14ac:dyDescent="0.25"/>
    <row r="68" ht="16.5" customHeight="1" x14ac:dyDescent="0.25"/>
    <row r="69" ht="16.5" customHeight="1" x14ac:dyDescent="0.25"/>
    <row r="70" ht="16.5" customHeight="1" x14ac:dyDescent="0.25"/>
    <row r="71" ht="16.5" customHeight="1" x14ac:dyDescent="0.25"/>
    <row r="72" ht="16.5" customHeight="1" x14ac:dyDescent="0.25"/>
    <row r="73" ht="16.5" customHeight="1" x14ac:dyDescent="0.25"/>
    <row r="74" ht="16.5" customHeight="1" x14ac:dyDescent="0.25"/>
    <row r="75" ht="16.5" customHeight="1" x14ac:dyDescent="0.25"/>
    <row r="76" ht="16.5" customHeight="1" x14ac:dyDescent="0.25"/>
    <row r="77" ht="16.5" customHeight="1" x14ac:dyDescent="0.25"/>
    <row r="78" ht="16.5" customHeight="1" x14ac:dyDescent="0.25"/>
    <row r="79" ht="16.5" customHeight="1" x14ac:dyDescent="0.25"/>
    <row r="80" ht="16.5" customHeight="1" x14ac:dyDescent="0.25"/>
    <row r="81" ht="16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  <row r="87" ht="16.5" customHeight="1" x14ac:dyDescent="0.25"/>
    <row r="88" ht="16.5" customHeight="1" x14ac:dyDescent="0.25"/>
    <row r="89" ht="16.5" customHeight="1" x14ac:dyDescent="0.25"/>
    <row r="90" ht="16.5" customHeight="1" x14ac:dyDescent="0.25"/>
    <row r="91" ht="16.5" customHeight="1" x14ac:dyDescent="0.25"/>
    <row r="92" ht="16.5" customHeight="1" x14ac:dyDescent="0.25"/>
    <row r="93" ht="16.5" customHeight="1" x14ac:dyDescent="0.25"/>
    <row r="94" ht="16.5" customHeight="1" x14ac:dyDescent="0.25"/>
    <row r="95" ht="16.5" customHeight="1" x14ac:dyDescent="0.25"/>
    <row r="96" ht="16.5" customHeight="1" x14ac:dyDescent="0.25"/>
    <row r="97" ht="16.5" customHeight="1" x14ac:dyDescent="0.25"/>
    <row r="98" ht="16.5" customHeight="1" x14ac:dyDescent="0.25"/>
    <row r="99" ht="16.5" customHeight="1" x14ac:dyDescent="0.25"/>
    <row r="100" ht="16.5" customHeight="1" x14ac:dyDescent="0.25"/>
    <row r="101" ht="16.5" customHeight="1" x14ac:dyDescent="0.25"/>
    <row r="102" ht="16.5" customHeight="1" x14ac:dyDescent="0.25"/>
    <row r="103" ht="16.5" customHeight="1" x14ac:dyDescent="0.25"/>
    <row r="104" ht="16.5" customHeight="1" x14ac:dyDescent="0.25"/>
    <row r="105" ht="16.5" customHeight="1" x14ac:dyDescent="0.25"/>
    <row r="106" ht="16.5" customHeight="1" x14ac:dyDescent="0.25"/>
    <row r="107" ht="16.5" customHeight="1" x14ac:dyDescent="0.25"/>
    <row r="108" ht="16.5" customHeight="1" x14ac:dyDescent="0.25"/>
    <row r="109" ht="16.5" customHeight="1" x14ac:dyDescent="0.25"/>
    <row r="110" ht="16.5" customHeight="1" x14ac:dyDescent="0.25"/>
    <row r="111" ht="16.5" customHeight="1" x14ac:dyDescent="0.25"/>
    <row r="112" ht="16.5" customHeight="1" x14ac:dyDescent="0.25"/>
    <row r="113" ht="16.5" customHeight="1" x14ac:dyDescent="0.25"/>
    <row r="114" ht="16.5" customHeight="1" x14ac:dyDescent="0.25"/>
    <row r="115" ht="16.5" customHeight="1" x14ac:dyDescent="0.25"/>
    <row r="116" ht="16.5" customHeight="1" x14ac:dyDescent="0.25"/>
    <row r="117" ht="16.5" customHeight="1" x14ac:dyDescent="0.25"/>
    <row r="118" ht="16.5" customHeight="1" x14ac:dyDescent="0.25"/>
    <row r="119" ht="16.5" customHeight="1" x14ac:dyDescent="0.25"/>
    <row r="120" ht="16.5" customHeight="1" x14ac:dyDescent="0.25"/>
    <row r="121" ht="16.5" customHeight="1" x14ac:dyDescent="0.25"/>
    <row r="122" ht="16.5" customHeight="1" x14ac:dyDescent="0.25"/>
    <row r="123" ht="16.5" customHeight="1" x14ac:dyDescent="0.25"/>
    <row r="124" ht="16.5" customHeight="1" x14ac:dyDescent="0.25"/>
    <row r="125" ht="16.5" customHeight="1" x14ac:dyDescent="0.25"/>
    <row r="126" ht="16.5" customHeight="1" x14ac:dyDescent="0.25"/>
    <row r="127" ht="16.5" customHeight="1" x14ac:dyDescent="0.25"/>
    <row r="128" ht="16.5" customHeight="1" x14ac:dyDescent="0.25"/>
    <row r="129" ht="16.5" customHeight="1" x14ac:dyDescent="0.25"/>
    <row r="130" ht="16.5" customHeight="1" x14ac:dyDescent="0.25"/>
    <row r="131" ht="16.5" customHeight="1" x14ac:dyDescent="0.25"/>
    <row r="132" ht="16.5" customHeight="1" x14ac:dyDescent="0.25"/>
    <row r="133" ht="16.5" customHeight="1" x14ac:dyDescent="0.25"/>
    <row r="134" ht="16.5" customHeight="1" x14ac:dyDescent="0.25"/>
    <row r="135" ht="16.5" customHeight="1" x14ac:dyDescent="0.25"/>
    <row r="136" ht="16.5" customHeight="1" x14ac:dyDescent="0.25"/>
    <row r="137" ht="16.5" customHeight="1" x14ac:dyDescent="0.25"/>
    <row r="138" ht="16.5" customHeight="1" x14ac:dyDescent="0.25"/>
    <row r="139" ht="16.5" customHeight="1" x14ac:dyDescent="0.25"/>
    <row r="140" ht="16.5" customHeight="1" x14ac:dyDescent="0.25"/>
    <row r="141" ht="16.5" customHeight="1" x14ac:dyDescent="0.25"/>
    <row r="142" ht="16.5" customHeight="1" x14ac:dyDescent="0.25"/>
    <row r="143" ht="16.5" customHeight="1" x14ac:dyDescent="0.25"/>
    <row r="144" ht="16.5" customHeight="1" x14ac:dyDescent="0.25"/>
    <row r="145" ht="16.5" customHeight="1" x14ac:dyDescent="0.25"/>
    <row r="146" ht="16.5" customHeight="1" x14ac:dyDescent="0.25"/>
    <row r="147" ht="16.5" customHeight="1" x14ac:dyDescent="0.25"/>
    <row r="148" ht="16.5" customHeight="1" x14ac:dyDescent="0.25"/>
    <row r="149" ht="16.5" customHeight="1" x14ac:dyDescent="0.25"/>
    <row r="150" ht="16.5" customHeight="1" x14ac:dyDescent="0.25"/>
    <row r="151" ht="16.5" customHeight="1" x14ac:dyDescent="0.25"/>
    <row r="152" ht="16.5" customHeight="1" x14ac:dyDescent="0.25"/>
    <row r="153" ht="16.5" customHeight="1" x14ac:dyDescent="0.25"/>
    <row r="154" ht="16.5" customHeight="1" x14ac:dyDescent="0.25"/>
    <row r="155" ht="16.5" customHeight="1" x14ac:dyDescent="0.25"/>
    <row r="156" ht="16.5" customHeight="1" x14ac:dyDescent="0.25"/>
    <row r="157" ht="16.5" customHeight="1" x14ac:dyDescent="0.25"/>
    <row r="158" ht="16.5" customHeight="1" x14ac:dyDescent="0.25"/>
    <row r="159" ht="16.5" customHeight="1" x14ac:dyDescent="0.25"/>
    <row r="160" ht="16.5" customHeight="1" x14ac:dyDescent="0.25"/>
    <row r="161" ht="16.5" customHeight="1" x14ac:dyDescent="0.25"/>
    <row r="162" ht="16.5" customHeight="1" x14ac:dyDescent="0.25"/>
    <row r="163" ht="16.5" customHeight="1" x14ac:dyDescent="0.25"/>
    <row r="164" ht="16.5" customHeight="1" x14ac:dyDescent="0.25"/>
    <row r="165" ht="16.5" customHeight="1" x14ac:dyDescent="0.25"/>
    <row r="166" ht="16.5" customHeight="1" x14ac:dyDescent="0.25"/>
    <row r="167" ht="16.5" customHeight="1" x14ac:dyDescent="0.25"/>
    <row r="168" ht="16.5" customHeight="1" x14ac:dyDescent="0.25"/>
    <row r="169" ht="16.5" customHeight="1" x14ac:dyDescent="0.25"/>
    <row r="170" ht="16.5" customHeight="1" x14ac:dyDescent="0.25"/>
    <row r="171" ht="16.5" customHeight="1" x14ac:dyDescent="0.25"/>
    <row r="172" ht="16.5" customHeight="1" x14ac:dyDescent="0.25"/>
    <row r="173" ht="16.5" customHeight="1" x14ac:dyDescent="0.25"/>
    <row r="174" ht="16.5" customHeight="1" x14ac:dyDescent="0.25"/>
    <row r="175" ht="16.5" customHeight="1" x14ac:dyDescent="0.25"/>
    <row r="176" ht="16.5" customHeight="1" x14ac:dyDescent="0.25"/>
    <row r="177" ht="16.5" customHeight="1" x14ac:dyDescent="0.25"/>
    <row r="178" ht="16.5" customHeight="1" x14ac:dyDescent="0.25"/>
    <row r="179" ht="16.5" customHeight="1" x14ac:dyDescent="0.25"/>
    <row r="180" ht="16.5" customHeight="1" x14ac:dyDescent="0.25"/>
    <row r="181" ht="16.5" customHeight="1" x14ac:dyDescent="0.25"/>
    <row r="182" ht="16.5" customHeight="1" x14ac:dyDescent="0.25"/>
    <row r="183" ht="16.5" customHeight="1" x14ac:dyDescent="0.25"/>
    <row r="184" ht="16.5" customHeight="1" x14ac:dyDescent="0.25"/>
    <row r="185" ht="16.5" customHeight="1" x14ac:dyDescent="0.25"/>
    <row r="186" ht="16.5" customHeight="1" x14ac:dyDescent="0.25"/>
    <row r="187" ht="16.5" customHeight="1" x14ac:dyDescent="0.25"/>
    <row r="188" ht="16.5" customHeight="1" x14ac:dyDescent="0.25"/>
    <row r="189" ht="16.5" customHeight="1" x14ac:dyDescent="0.25"/>
    <row r="190" ht="16.5" customHeight="1" x14ac:dyDescent="0.25"/>
    <row r="191" ht="16.5" customHeight="1" x14ac:dyDescent="0.25"/>
    <row r="192" ht="16.5" customHeight="1" x14ac:dyDescent="0.25"/>
    <row r="193" ht="16.5" customHeight="1" x14ac:dyDescent="0.25"/>
    <row r="194" ht="16.5" customHeight="1" x14ac:dyDescent="0.25"/>
    <row r="195" ht="16.5" customHeight="1" x14ac:dyDescent="0.25"/>
    <row r="196" ht="16.5" customHeight="1" x14ac:dyDescent="0.25"/>
    <row r="197" ht="16.5" customHeight="1" x14ac:dyDescent="0.25"/>
    <row r="198" ht="16.5" customHeight="1" x14ac:dyDescent="0.25"/>
    <row r="199" ht="16.5" customHeight="1" x14ac:dyDescent="0.25"/>
    <row r="200" ht="16.5" customHeight="1" x14ac:dyDescent="0.25"/>
    <row r="201" ht="16.5" customHeight="1" x14ac:dyDescent="0.25"/>
    <row r="202" ht="16.5" customHeight="1" x14ac:dyDescent="0.25"/>
    <row r="203" ht="16.5" customHeight="1" x14ac:dyDescent="0.25"/>
    <row r="204" ht="16.5" customHeight="1" x14ac:dyDescent="0.25"/>
    <row r="205" ht="16.5" customHeight="1" x14ac:dyDescent="0.25"/>
    <row r="206" ht="16.5" customHeight="1" x14ac:dyDescent="0.25"/>
    <row r="207" ht="16.5" customHeight="1" x14ac:dyDescent="0.25"/>
    <row r="208" ht="16.5" customHeight="1" x14ac:dyDescent="0.25"/>
    <row r="209" ht="16.5" customHeight="1" x14ac:dyDescent="0.25"/>
    <row r="210" ht="16.5" customHeight="1" x14ac:dyDescent="0.25"/>
    <row r="211" ht="16.5" customHeight="1" x14ac:dyDescent="0.25"/>
    <row r="212" ht="16.5" customHeight="1" x14ac:dyDescent="0.25"/>
    <row r="213" ht="16.5" customHeight="1" x14ac:dyDescent="0.25"/>
    <row r="214" ht="16.5" customHeight="1" x14ac:dyDescent="0.25"/>
    <row r="215" ht="16.5" customHeight="1" x14ac:dyDescent="0.25"/>
    <row r="216" ht="16.5" customHeight="1" x14ac:dyDescent="0.25"/>
    <row r="217" ht="16.5" customHeight="1" x14ac:dyDescent="0.25"/>
    <row r="218" ht="16.5" customHeight="1" x14ac:dyDescent="0.25"/>
    <row r="219" ht="16.5" customHeight="1" x14ac:dyDescent="0.25"/>
    <row r="220" ht="16.5" customHeight="1" x14ac:dyDescent="0.25"/>
    <row r="221" ht="16.5" customHeight="1" x14ac:dyDescent="0.25"/>
    <row r="222" ht="16.5" customHeight="1" x14ac:dyDescent="0.25"/>
    <row r="223" ht="16.5" customHeight="1" x14ac:dyDescent="0.25"/>
    <row r="224" ht="16.5" customHeight="1" x14ac:dyDescent="0.25"/>
    <row r="225" ht="16.5" customHeight="1" x14ac:dyDescent="0.25"/>
    <row r="226" ht="16.5" customHeight="1" x14ac:dyDescent="0.25"/>
    <row r="227" ht="16.5" customHeight="1" x14ac:dyDescent="0.25"/>
    <row r="228" ht="16.5" customHeight="1" x14ac:dyDescent="0.25"/>
    <row r="229" ht="16.5" customHeight="1" x14ac:dyDescent="0.25"/>
    <row r="230" ht="16.5" customHeight="1" x14ac:dyDescent="0.25"/>
    <row r="231" ht="16.5" customHeight="1" x14ac:dyDescent="0.25"/>
    <row r="232" ht="16.5" customHeight="1" x14ac:dyDescent="0.25"/>
    <row r="233" ht="16.5" customHeight="1" x14ac:dyDescent="0.25"/>
    <row r="234" ht="16.5" customHeight="1" x14ac:dyDescent="0.25"/>
    <row r="235" ht="16.5" customHeight="1" x14ac:dyDescent="0.25"/>
    <row r="236" ht="16.5" customHeight="1" x14ac:dyDescent="0.25"/>
    <row r="237" ht="16.5" customHeight="1" x14ac:dyDescent="0.25"/>
    <row r="238" ht="16.5" customHeight="1" x14ac:dyDescent="0.25"/>
    <row r="239" ht="16.5" customHeight="1" x14ac:dyDescent="0.25"/>
    <row r="240" ht="16.5" customHeight="1" x14ac:dyDescent="0.25"/>
    <row r="241" ht="16.5" customHeight="1" x14ac:dyDescent="0.25"/>
    <row r="242" ht="16.5" customHeight="1" x14ac:dyDescent="0.25"/>
    <row r="243" ht="16.5" customHeight="1" x14ac:dyDescent="0.25"/>
    <row r="244" ht="16.5" customHeight="1" x14ac:dyDescent="0.25"/>
    <row r="245" ht="16.5" customHeight="1" x14ac:dyDescent="0.25"/>
    <row r="246" ht="16.5" customHeight="1" x14ac:dyDescent="0.25"/>
    <row r="247" ht="16.5" customHeight="1" x14ac:dyDescent="0.25"/>
    <row r="248" ht="16.5" customHeight="1" x14ac:dyDescent="0.25"/>
    <row r="249" ht="16.5" customHeight="1" x14ac:dyDescent="0.25"/>
    <row r="250" ht="16.5" customHeight="1" x14ac:dyDescent="0.25"/>
    <row r="251" ht="16.5" customHeight="1" x14ac:dyDescent="0.25"/>
    <row r="252" ht="16.5" customHeight="1" x14ac:dyDescent="0.25"/>
    <row r="253" ht="16.5" customHeight="1" x14ac:dyDescent="0.25"/>
    <row r="254" ht="16.5" customHeight="1" x14ac:dyDescent="0.25"/>
    <row r="255" ht="16.5" customHeight="1" x14ac:dyDescent="0.25"/>
    <row r="256" ht="16.5" customHeight="1" x14ac:dyDescent="0.25"/>
    <row r="257" ht="16.5" customHeight="1" x14ac:dyDescent="0.25"/>
    <row r="258" ht="16.5" customHeight="1" x14ac:dyDescent="0.25"/>
    <row r="259" ht="16.5" customHeight="1" x14ac:dyDescent="0.25"/>
    <row r="260" ht="16.5" customHeight="1" x14ac:dyDescent="0.25"/>
    <row r="261" ht="16.5" customHeight="1" x14ac:dyDescent="0.25"/>
    <row r="262" ht="16.5" customHeight="1" x14ac:dyDescent="0.25"/>
    <row r="263" ht="16.5" customHeight="1" x14ac:dyDescent="0.25"/>
    <row r="264" ht="16.5" customHeight="1" x14ac:dyDescent="0.25"/>
    <row r="265" ht="16.5" customHeight="1" x14ac:dyDescent="0.25"/>
    <row r="266" ht="16.5" customHeight="1" x14ac:dyDescent="0.25"/>
    <row r="267" ht="16.5" customHeight="1" x14ac:dyDescent="0.25"/>
    <row r="268" ht="16.5" customHeight="1" x14ac:dyDescent="0.25"/>
    <row r="269" ht="16.5" customHeight="1" x14ac:dyDescent="0.25"/>
    <row r="270" ht="16.5" customHeight="1" x14ac:dyDescent="0.25"/>
    <row r="271" ht="16.5" customHeight="1" x14ac:dyDescent="0.25"/>
    <row r="272" ht="16.5" customHeight="1" x14ac:dyDescent="0.25"/>
    <row r="273" ht="16.5" customHeight="1" x14ac:dyDescent="0.25"/>
    <row r="274" ht="16.5" customHeight="1" x14ac:dyDescent="0.25"/>
    <row r="275" ht="16.5" customHeight="1" x14ac:dyDescent="0.25"/>
    <row r="276" ht="16.5" customHeight="1" x14ac:dyDescent="0.25"/>
    <row r="277" ht="16.5" customHeight="1" x14ac:dyDescent="0.25"/>
    <row r="278" ht="16.5" customHeight="1" x14ac:dyDescent="0.25"/>
    <row r="279" ht="16.5" customHeight="1" x14ac:dyDescent="0.25"/>
    <row r="280" ht="16.5" customHeight="1" x14ac:dyDescent="0.25"/>
    <row r="281" ht="16.5" customHeight="1" x14ac:dyDescent="0.25"/>
    <row r="282" ht="16.5" customHeight="1" x14ac:dyDescent="0.25"/>
    <row r="283" ht="16.5" customHeight="1" x14ac:dyDescent="0.25"/>
    <row r="284" ht="16.5" customHeight="1" x14ac:dyDescent="0.25"/>
    <row r="285" ht="16.5" customHeight="1" x14ac:dyDescent="0.25"/>
    <row r="286" ht="16.5" customHeight="1" x14ac:dyDescent="0.25"/>
    <row r="287" ht="16.5" customHeight="1" x14ac:dyDescent="0.25"/>
    <row r="288" ht="16.5" customHeight="1" x14ac:dyDescent="0.25"/>
    <row r="289" ht="16.5" customHeight="1" x14ac:dyDescent="0.25"/>
    <row r="290" ht="16.5" customHeight="1" x14ac:dyDescent="0.25"/>
    <row r="291" ht="16.5" customHeight="1" x14ac:dyDescent="0.25"/>
    <row r="292" ht="16.5" customHeight="1" x14ac:dyDescent="0.25"/>
    <row r="293" ht="16.5" customHeight="1" x14ac:dyDescent="0.25"/>
    <row r="294" ht="16.5" customHeight="1" x14ac:dyDescent="0.25"/>
    <row r="295" ht="16.5" customHeight="1" x14ac:dyDescent="0.25"/>
    <row r="296" ht="16.5" customHeight="1" x14ac:dyDescent="0.25"/>
    <row r="297" ht="16.5" customHeight="1" x14ac:dyDescent="0.25"/>
    <row r="298" ht="16.5" customHeight="1" x14ac:dyDescent="0.25"/>
    <row r="299" ht="16.5" customHeight="1" x14ac:dyDescent="0.25"/>
    <row r="300" ht="16.5" customHeight="1" x14ac:dyDescent="0.25"/>
    <row r="301" ht="16.5" customHeight="1" x14ac:dyDescent="0.25"/>
    <row r="302" ht="16.5" customHeight="1" x14ac:dyDescent="0.25"/>
    <row r="303" ht="16.5" customHeight="1" x14ac:dyDescent="0.25"/>
    <row r="304" ht="16.5" customHeight="1" x14ac:dyDescent="0.25"/>
    <row r="305" ht="16.5" customHeight="1" x14ac:dyDescent="0.25"/>
    <row r="306" ht="16.5" customHeight="1" x14ac:dyDescent="0.25"/>
    <row r="307" ht="16.5" customHeight="1" x14ac:dyDescent="0.25"/>
    <row r="308" ht="16.5" customHeight="1" x14ac:dyDescent="0.25"/>
    <row r="309" ht="16.5" customHeight="1" x14ac:dyDescent="0.25"/>
    <row r="310" ht="16.5" customHeight="1" x14ac:dyDescent="0.25"/>
    <row r="311" ht="16.5" customHeight="1" x14ac:dyDescent="0.25"/>
    <row r="312" ht="16.5" customHeight="1" x14ac:dyDescent="0.25"/>
    <row r="313" ht="16.5" customHeight="1" x14ac:dyDescent="0.25"/>
    <row r="314" ht="16.5" customHeight="1" x14ac:dyDescent="0.25"/>
    <row r="315" ht="16.5" customHeight="1" x14ac:dyDescent="0.25"/>
    <row r="316" ht="16.5" customHeight="1" x14ac:dyDescent="0.25"/>
    <row r="317" ht="16.5" customHeight="1" x14ac:dyDescent="0.25"/>
    <row r="318" ht="16.5" customHeight="1" x14ac:dyDescent="0.25"/>
    <row r="319" ht="16.5" customHeight="1" x14ac:dyDescent="0.25"/>
    <row r="320" ht="16.5" customHeight="1" x14ac:dyDescent="0.25"/>
    <row r="321" ht="16.5" customHeight="1" x14ac:dyDescent="0.25"/>
    <row r="322" ht="16.5" customHeight="1" x14ac:dyDescent="0.25"/>
    <row r="323" ht="16.5" customHeight="1" x14ac:dyDescent="0.25"/>
    <row r="324" ht="16.5" customHeight="1" x14ac:dyDescent="0.25"/>
    <row r="325" ht="16.5" customHeight="1" x14ac:dyDescent="0.25"/>
    <row r="326" ht="16.5" customHeight="1" x14ac:dyDescent="0.25"/>
    <row r="327" ht="16.5" customHeight="1" x14ac:dyDescent="0.25"/>
    <row r="328" ht="16.5" customHeight="1" x14ac:dyDescent="0.25"/>
    <row r="329" ht="16.5" customHeight="1" x14ac:dyDescent="0.25"/>
    <row r="330" ht="16.5" customHeight="1" x14ac:dyDescent="0.25"/>
    <row r="331" ht="16.5" customHeight="1" x14ac:dyDescent="0.25"/>
    <row r="332" ht="16.5" customHeight="1" x14ac:dyDescent="0.25"/>
    <row r="333" ht="16.5" customHeight="1" x14ac:dyDescent="0.25"/>
    <row r="334" ht="16.5" customHeight="1" x14ac:dyDescent="0.25"/>
    <row r="335" ht="16.5" customHeight="1" x14ac:dyDescent="0.25"/>
    <row r="336" ht="16.5" customHeight="1" x14ac:dyDescent="0.25"/>
    <row r="337" ht="16.5" customHeight="1" x14ac:dyDescent="0.25"/>
    <row r="338" ht="16.5" customHeight="1" x14ac:dyDescent="0.25"/>
    <row r="339" ht="16.5" customHeight="1" x14ac:dyDescent="0.25"/>
    <row r="340" ht="16.5" customHeight="1" x14ac:dyDescent="0.25"/>
    <row r="341" ht="16.5" customHeight="1" x14ac:dyDescent="0.25"/>
    <row r="342" ht="16.5" customHeight="1" x14ac:dyDescent="0.25"/>
    <row r="343" ht="16.5" customHeight="1" x14ac:dyDescent="0.25"/>
    <row r="344" ht="16.5" customHeight="1" x14ac:dyDescent="0.25"/>
    <row r="345" ht="16.5" customHeight="1" x14ac:dyDescent="0.25"/>
    <row r="346" ht="16.5" customHeight="1" x14ac:dyDescent="0.25"/>
  </sheetData>
  <sheetProtection formatCells="0" formatColumns="0" formatRows="0" insertColumns="0" insertRows="0" insertHyperlinks="0" deleteColumns="0" deleteRows="0" sort="0" autoFilter="0" pivotTables="0"/>
  <mergeCells count="1">
    <mergeCell ref="AI5:AM5"/>
  </mergeCells>
  <conditionalFormatting sqref="D7:AF11">
    <cfRule type="expression" dxfId="72" priority="1" stopIfTrue="1">
      <formula>D7=Código2</formula>
    </cfRule>
    <cfRule type="expression" dxfId="71" priority="2" stopIfTrue="1">
      <formula>D7=Código5</formula>
    </cfRule>
    <cfRule type="expression" dxfId="70" priority="3" stopIfTrue="1">
      <formula>D7=Código4</formula>
    </cfRule>
    <cfRule type="expression" dxfId="69" priority="4" stopIfTrue="1">
      <formula>D7=Código3</formula>
    </cfRule>
    <cfRule type="expression" dxfId="68" priority="5" stopIfTrue="1">
      <formula>D7=Código1</formula>
    </cfRule>
  </conditionalFormatting>
  <conditionalFormatting sqref="AG7:AH11">
    <cfRule type="expression" dxfId="67" priority="8" stopIfTrue="1">
      <formula>AG7=Código5</formula>
    </cfRule>
    <cfRule type="expression" dxfId="66" priority="9" stopIfTrue="1">
      <formula>AG7=Código4</formula>
    </cfRule>
    <cfRule type="expression" dxfId="65" priority="10" stopIfTrue="1">
      <formula>AG7=Código3</formula>
    </cfRule>
    <cfRule type="expression" dxfId="64" priority="11" stopIfTrue="1">
      <formula>AG7=Código1</formula>
    </cfRule>
  </conditionalFormatting>
  <conditionalFormatting sqref="AG7:AI11">
    <cfRule type="expression" dxfId="63" priority="7" stopIfTrue="1">
      <formula>AG7=Código2</formula>
    </cfRule>
  </conditionalFormatting>
  <conditionalFormatting sqref="AM7:AM11">
    <cfRule type="dataBar" priority="6">
      <dataBar>
        <cfvo type="min"/>
        <cfvo type="num" val="31"/>
        <color theme="4"/>
      </dataBar>
      <extLst>
        <ext xmlns:x14="http://schemas.microsoft.com/office/spreadsheetml/2009/9/main" uri="{B025F937-C7B1-47D3-B67F-A62EFF666E3E}">
          <x14:id>{6EA17848-2AAC-40C7-98F3-52AFCDA9173D}</x14:id>
        </ext>
      </extLst>
    </cfRule>
  </conditionalFormatting>
  <dataValidations count="1">
    <dataValidation type="list" errorStyle="warning" allowBlank="1" showInputMessage="1" showErrorMessage="1" errorTitle="Ops!" error="A ID de Aluno que você inseriu não está na planilha Lista de Alunos. Você pode clicar em Sim para usar a ID de Aluno inserida, mas ela não estará disponível na planilha Relatório de Presença dos Alunos." sqref="B7:B11" xr:uid="{00000000-0002-0000-0500-000000000000}">
      <formula1>IDAluno</formula1>
    </dataValidation>
  </dataValidations>
  <printOptions horizontalCentered="1"/>
  <pageMargins left="0.5" right="0.5" top="0.75" bottom="0.75" header="0.3" footer="0.3"/>
  <pageSetup paperSize="9" scale="59" fitToHeight="0" orientation="landscape" verticalDpi="1200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EA17848-2AAC-40C7-98F3-52AFCDA9173D}">
            <x14:dataBar minLength="0" maxLength="100" border="1" negativeBarBorderColorSameAsPositive="0">
              <x14:cfvo type="autoMin"/>
              <x14:cfvo type="num">
                <xm:f>31</xm:f>
              </x14:cfvo>
              <x14:borderColor theme="4"/>
              <x14:negativeFillColor rgb="FFFF0000"/>
              <x14:negativeBorderColor rgb="FFFF0000"/>
              <x14:axisColor rgb="FF000000"/>
            </x14:dataBar>
          </x14:cfRule>
          <xm:sqref>AM7:AM11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39997558519241921"/>
    <pageSetUpPr fitToPage="1"/>
  </sheetPr>
  <dimension ref="A1:AN346"/>
  <sheetViews>
    <sheetView showGridLines="0" zoomScaleNormal="100" workbookViewId="0">
      <pane xSplit="3" ySplit="6" topLeftCell="D7" activePane="bottomRight" state="frozen"/>
      <selection activeCell="Y16" sqref="Y16"/>
      <selection pane="topRight" activeCell="Y16" sqref="Y16"/>
      <selection pane="bottomLeft" activeCell="Y16" sqref="Y16"/>
      <selection pane="bottomRight" activeCell="J1" sqref="J1"/>
    </sheetView>
  </sheetViews>
  <sheetFormatPr defaultColWidth="9.109375" defaultRowHeight="15" customHeight="1" x14ac:dyDescent="0.25"/>
  <cols>
    <col min="1" max="1" width="2.6640625" style="8" customWidth="1"/>
    <col min="2" max="2" width="11.88671875" style="8" bestFit="1" customWidth="1"/>
    <col min="3" max="3" width="28.88671875" style="9" customWidth="1"/>
    <col min="4" max="34" width="5" style="7" customWidth="1"/>
    <col min="35" max="35" width="4.6640625" style="6" customWidth="1"/>
    <col min="36" max="36" width="4.6640625" style="7" customWidth="1"/>
    <col min="37" max="38" width="4.6640625" style="8" customWidth="1"/>
    <col min="39" max="39" width="19.5546875" style="8" bestFit="1" customWidth="1"/>
    <col min="40" max="16384" width="9.109375" style="8"/>
  </cols>
  <sheetData>
    <row r="1" spans="1:40" s="1" customFormat="1" ht="42" customHeight="1" x14ac:dyDescent="0.25">
      <c r="A1" s="21" t="s">
        <v>88</v>
      </c>
      <c r="B1" s="22"/>
      <c r="C1" s="22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2"/>
      <c r="AD1" s="22"/>
      <c r="AE1" s="22"/>
      <c r="AF1" s="22"/>
      <c r="AG1" s="24"/>
      <c r="AH1" s="22"/>
      <c r="AI1" s="22"/>
      <c r="AJ1" s="25"/>
      <c r="AK1" s="22"/>
      <c r="AL1" s="34" t="s">
        <v>72</v>
      </c>
      <c r="AM1" s="35">
        <f>AnoCalendário</f>
        <v>2016</v>
      </c>
    </row>
    <row r="2" spans="1:40" customFormat="1" ht="13.2" x14ac:dyDescent="0.25"/>
    <row r="3" spans="1:40" s="17" customFormat="1" ht="12.75" customHeight="1" x14ac:dyDescent="0.25">
      <c r="C3" s="27" t="str">
        <f>TextodaChavedeCor</f>
        <v xml:space="preserve">CHAVE COLORIDA </v>
      </c>
      <c r="D3" s="28" t="str">
        <f>Código1</f>
        <v>T</v>
      </c>
      <c r="E3" s="41" t="str">
        <f>TextodeCódigo1</f>
        <v>Atrasado</v>
      </c>
      <c r="F3" s="33"/>
      <c r="H3" s="29" t="str">
        <f>Código2</f>
        <v>E</v>
      </c>
      <c r="I3" s="33" t="str">
        <f>TextodeCódigo2</f>
        <v>Dispensado</v>
      </c>
      <c r="L3" s="30" t="str">
        <f>Código3</f>
        <v>F</v>
      </c>
      <c r="M3" s="33" t="str">
        <f>TextodeCódigo3</f>
        <v>faltou a aula</v>
      </c>
      <c r="P3" s="31" t="str">
        <f>Código4</f>
        <v>P</v>
      </c>
      <c r="Q3" s="33" t="str">
        <f>TextodeCódigo4</f>
        <v>Presente</v>
      </c>
      <c r="T3" s="32" t="str">
        <f>Código5</f>
        <v>N</v>
      </c>
      <c r="U3" s="33" t="str">
        <f>TextodeCódigo5</f>
        <v>Sem Aula</v>
      </c>
      <c r="W3"/>
      <c r="X3"/>
      <c r="Y3"/>
      <c r="AD3" s="16"/>
      <c r="AE3" s="16"/>
      <c r="AH3" s="18"/>
      <c r="AI3" s="19"/>
      <c r="AK3" s="20"/>
    </row>
    <row r="4" spans="1:40" customFormat="1" ht="16.5" customHeight="1" x14ac:dyDescent="0.25"/>
    <row r="5" spans="1:40" s="2" customFormat="1" ht="18" customHeight="1" thickBot="1" x14ac:dyDescent="0.35">
      <c r="B5" s="79">
        <f>DATE(AnoCalendário,11,1)</f>
        <v>42675</v>
      </c>
      <c r="C5" s="80"/>
      <c r="D5" s="81" t="str">
        <f>TEXT(WEEKDAY(DATE(AnoCalendário,11,1),1),"ddd")</f>
        <v>ter</v>
      </c>
      <c r="E5" s="81" t="str">
        <f>TEXT(WEEKDAY(DATE(AnoCalendário,11,2),1),"ddd")</f>
        <v>qua</v>
      </c>
      <c r="F5" s="81" t="str">
        <f>TEXT(WEEKDAY(DATE(AnoCalendário,11,3),1),"ddd")</f>
        <v>qui</v>
      </c>
      <c r="G5" s="81" t="str">
        <f>TEXT(WEEKDAY(DATE(AnoCalendário,11,4),1),"ddd")</f>
        <v>sex</v>
      </c>
      <c r="H5" s="81" t="str">
        <f>TEXT(WEEKDAY(DATE(AnoCalendário,11,5),1),"ddd")</f>
        <v>sáb</v>
      </c>
      <c r="I5" s="81" t="str">
        <f>TEXT(WEEKDAY(DATE(AnoCalendário,11,6),1),"ddd")</f>
        <v>dom</v>
      </c>
      <c r="J5" s="81" t="str">
        <f>TEXT(WEEKDAY(DATE(AnoCalendário,11,7),1),"ddd")</f>
        <v>seg</v>
      </c>
      <c r="K5" s="81" t="str">
        <f>TEXT(WEEKDAY(DATE(AnoCalendário,11,8),1),"ddd")</f>
        <v>ter</v>
      </c>
      <c r="L5" s="81" t="str">
        <f>TEXT(WEEKDAY(DATE(AnoCalendário,11,9),1),"ddd")</f>
        <v>qua</v>
      </c>
      <c r="M5" s="81" t="str">
        <f>TEXT(WEEKDAY(DATE(AnoCalendário,11,10),1),"ddd")</f>
        <v>qui</v>
      </c>
      <c r="N5" s="81" t="str">
        <f>TEXT(WEEKDAY(DATE(AnoCalendário,11,11),1),"ddd")</f>
        <v>sex</v>
      </c>
      <c r="O5" s="81" t="str">
        <f>TEXT(WEEKDAY(DATE(AnoCalendário,11,12),1),"ddd")</f>
        <v>sáb</v>
      </c>
      <c r="P5" s="81" t="str">
        <f>TEXT(WEEKDAY(DATE(AnoCalendário,11,13),1),"ddd")</f>
        <v>dom</v>
      </c>
      <c r="Q5" s="81" t="str">
        <f>TEXT(WEEKDAY(DATE(AnoCalendário,11,14),1),"ddd")</f>
        <v>seg</v>
      </c>
      <c r="R5" s="81" t="str">
        <f>TEXT(WEEKDAY(DATE(AnoCalendário,11,15),1),"ddd")</f>
        <v>ter</v>
      </c>
      <c r="S5" s="81" t="str">
        <f>TEXT(WEEKDAY(DATE(AnoCalendário,11,16),1),"ddd")</f>
        <v>qua</v>
      </c>
      <c r="T5" s="81" t="str">
        <f>TEXT(WEEKDAY(DATE(AnoCalendário,11,17),1),"ddd")</f>
        <v>qui</v>
      </c>
      <c r="U5" s="81" t="str">
        <f>TEXT(WEEKDAY(DATE(AnoCalendário,11,18),1),"ddd")</f>
        <v>sex</v>
      </c>
      <c r="V5" s="81" t="str">
        <f>TEXT(WEEKDAY(DATE(AnoCalendário,11,19),1),"ddd")</f>
        <v>sáb</v>
      </c>
      <c r="W5" s="81" t="str">
        <f>TEXT(WEEKDAY(DATE(AnoCalendário,11,20),1),"ddd")</f>
        <v>dom</v>
      </c>
      <c r="X5" s="81" t="str">
        <f>TEXT(WEEKDAY(DATE(AnoCalendário,11,21),1),"ddd")</f>
        <v>seg</v>
      </c>
      <c r="Y5" s="81" t="str">
        <f>TEXT(WEEKDAY(DATE(AnoCalendário,11,22),1),"ddd")</f>
        <v>ter</v>
      </c>
      <c r="Z5" s="81" t="str">
        <f>TEXT(WEEKDAY(DATE(AnoCalendário,11,23),1),"ddd")</f>
        <v>qua</v>
      </c>
      <c r="AA5" s="81" t="str">
        <f>TEXT(WEEKDAY(DATE(AnoCalendário,11,24),1),"ddd")</f>
        <v>qui</v>
      </c>
      <c r="AB5" s="81" t="str">
        <f>TEXT(WEEKDAY(DATE(AnoCalendário,11,25),1),"ddd")</f>
        <v>sex</v>
      </c>
      <c r="AC5" s="81" t="str">
        <f>TEXT(WEEKDAY(DATE(AnoCalendário,11,26),1),"ddd")</f>
        <v>sáb</v>
      </c>
      <c r="AD5" s="81" t="str">
        <f>TEXT(WEEKDAY(DATE(AnoCalendário,11,27),1),"ddd")</f>
        <v>dom</v>
      </c>
      <c r="AE5" s="81" t="str">
        <f>TEXT(WEEKDAY(DATE(AnoCalendário,11,28),1),"ddd")</f>
        <v>seg</v>
      </c>
      <c r="AF5" s="81" t="str">
        <f>TEXT(WEEKDAY(DATE(AnoCalendário,11,29),1),"ddd")</f>
        <v>ter</v>
      </c>
      <c r="AG5" s="81" t="str">
        <f>TEXT(WEEKDAY(DATE(AnoCalendário,11,30),1),"ddd")</f>
        <v>qua</v>
      </c>
      <c r="AH5" s="81"/>
      <c r="AI5" s="108" t="s">
        <v>41</v>
      </c>
      <c r="AJ5" s="108"/>
      <c r="AK5" s="108"/>
      <c r="AL5" s="108"/>
      <c r="AM5" s="108"/>
    </row>
    <row r="6" spans="1:40" s="4" customFormat="1" ht="14.25" customHeight="1" thickTop="1" thickBot="1" x14ac:dyDescent="0.3">
      <c r="B6" s="82" t="s">
        <v>34</v>
      </c>
      <c r="C6" s="83" t="s">
        <v>36</v>
      </c>
      <c r="D6" s="84" t="s">
        <v>0</v>
      </c>
      <c r="E6" s="84" t="s">
        <v>1</v>
      </c>
      <c r="F6" s="84" t="s">
        <v>2</v>
      </c>
      <c r="G6" s="84" t="s">
        <v>3</v>
      </c>
      <c r="H6" s="84" t="s">
        <v>4</v>
      </c>
      <c r="I6" s="84" t="s">
        <v>5</v>
      </c>
      <c r="J6" s="84" t="s">
        <v>6</v>
      </c>
      <c r="K6" s="84" t="s">
        <v>7</v>
      </c>
      <c r="L6" s="84" t="s">
        <v>8</v>
      </c>
      <c r="M6" s="84" t="s">
        <v>9</v>
      </c>
      <c r="N6" s="84" t="s">
        <v>10</v>
      </c>
      <c r="O6" s="84" t="s">
        <v>11</v>
      </c>
      <c r="P6" s="84" t="s">
        <v>12</v>
      </c>
      <c r="Q6" s="84" t="s">
        <v>13</v>
      </c>
      <c r="R6" s="84" t="s">
        <v>14</v>
      </c>
      <c r="S6" s="84" t="s">
        <v>15</v>
      </c>
      <c r="T6" s="84" t="s">
        <v>16</v>
      </c>
      <c r="U6" s="84" t="s">
        <v>17</v>
      </c>
      <c r="V6" s="84" t="s">
        <v>18</v>
      </c>
      <c r="W6" s="84" t="s">
        <v>19</v>
      </c>
      <c r="X6" s="84" t="s">
        <v>20</v>
      </c>
      <c r="Y6" s="84" t="s">
        <v>21</v>
      </c>
      <c r="Z6" s="84" t="s">
        <v>22</v>
      </c>
      <c r="AA6" s="84" t="s">
        <v>23</v>
      </c>
      <c r="AB6" s="84" t="s">
        <v>24</v>
      </c>
      <c r="AC6" s="84" t="s">
        <v>25</v>
      </c>
      <c r="AD6" s="84" t="s">
        <v>26</v>
      </c>
      <c r="AE6" s="84" t="s">
        <v>27</v>
      </c>
      <c r="AF6" s="84" t="s">
        <v>28</v>
      </c>
      <c r="AG6" s="84" t="s">
        <v>29</v>
      </c>
      <c r="AH6" s="84" t="s">
        <v>113</v>
      </c>
      <c r="AI6" s="85" t="s">
        <v>37</v>
      </c>
      <c r="AJ6" s="86" t="s">
        <v>39</v>
      </c>
      <c r="AK6" s="87" t="s">
        <v>38</v>
      </c>
      <c r="AL6" s="88" t="s">
        <v>31</v>
      </c>
      <c r="AM6" s="89" t="s">
        <v>40</v>
      </c>
      <c r="AN6" s="3"/>
    </row>
    <row r="7" spans="1:40" s="4" customFormat="1" ht="16.5" customHeight="1" thickTop="1" thickBot="1" x14ac:dyDescent="0.3">
      <c r="B7" s="90"/>
      <c r="C7" s="102" t="str">
        <f>IFERROR(VLOOKUP(PresençaemNovembro[[#This Row],[ID do Aluno]],ListadeAlunos[],18,FALSE),"")</f>
        <v/>
      </c>
      <c r="D7" s="98"/>
      <c r="E7" s="98"/>
      <c r="F7" s="98" t="s">
        <v>131</v>
      </c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9"/>
      <c r="AG7" s="92"/>
      <c r="AH7" s="92"/>
      <c r="AI7" s="93">
        <f>COUNTIF(PresençaemNovembro[[#This Row],[1]:[ ]],Código1)</f>
        <v>1</v>
      </c>
      <c r="AJ7" s="94">
        <f>COUNTIF(PresençaemNovembro[[#This Row],[1]:[ ]],Código2)</f>
        <v>0</v>
      </c>
      <c r="AK7" s="94">
        <f>COUNTIF(PresençaemNovembro[[#This Row],[1]:[ ]],Código3)</f>
        <v>0</v>
      </c>
      <c r="AL7" s="94">
        <f>COUNTIF(PresençaemNovembro[[#This Row],[1]:[ ]],Código4)</f>
        <v>0</v>
      </c>
      <c r="AM7" s="93">
        <f>SUM(PresençaemNovembro[[#This Row],[E]:[U]])</f>
        <v>0</v>
      </c>
      <c r="AN7" s="3"/>
    </row>
    <row r="8" spans="1:40" s="4" customFormat="1" ht="16.5" customHeight="1" thickTop="1" thickBot="1" x14ac:dyDescent="0.3">
      <c r="B8" s="90"/>
      <c r="C8" s="103" t="str">
        <f>IFERROR(VLOOKUP(PresençaemNovembro[[#This Row],[ID do Aluno]],ListadeAlunos[],18,FALSE),"")</f>
        <v/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9"/>
      <c r="AG8" s="92"/>
      <c r="AH8" s="92"/>
      <c r="AI8" s="93">
        <f>COUNTIF(PresençaemNovembro[[#This Row],[1]:[ ]],Código1)</f>
        <v>0</v>
      </c>
      <c r="AJ8" s="94">
        <f>COUNTIF(PresençaemNovembro[[#This Row],[1]:[ ]],Código2)</f>
        <v>0</v>
      </c>
      <c r="AK8" s="94">
        <f>COUNTIF(PresençaemNovembro[[#This Row],[1]:[ ]],Código3)</f>
        <v>0</v>
      </c>
      <c r="AL8" s="94">
        <f>COUNTIF(PresençaemNovembro[[#This Row],[1]:[ ]],Código4)</f>
        <v>0</v>
      </c>
      <c r="AM8" s="93">
        <f>SUM(PresençaemNovembro[[#This Row],[E]:[U]])</f>
        <v>0</v>
      </c>
      <c r="AN8" s="3"/>
    </row>
    <row r="9" spans="1:40" s="1" customFormat="1" ht="16.5" customHeight="1" thickTop="1" thickBot="1" x14ac:dyDescent="0.3">
      <c r="B9" s="90"/>
      <c r="C9" s="103" t="str">
        <f>IFERROR(VLOOKUP(PresençaemNovembro[[#This Row],[ID do Aluno]],ListadeAlunos[],18,FALSE),"")</f>
        <v/>
      </c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9"/>
      <c r="AG9" s="92"/>
      <c r="AH9" s="92"/>
      <c r="AI9" s="93">
        <f>COUNTIF(PresençaemNovembro[[#This Row],[1]:[ ]],Código1)</f>
        <v>0</v>
      </c>
      <c r="AJ9" s="94">
        <f>COUNTIF(PresençaemNovembro[[#This Row],[1]:[ ]],Código2)</f>
        <v>0</v>
      </c>
      <c r="AK9" s="94">
        <f>COUNTIF(PresençaemNovembro[[#This Row],[1]:[ ]],Código3)</f>
        <v>0</v>
      </c>
      <c r="AL9" s="94">
        <f>COUNTIF(PresençaemNovembro[[#This Row],[1]:[ ]],Código4)</f>
        <v>0</v>
      </c>
      <c r="AM9" s="93">
        <f>SUM(PresençaemNovembro[[#This Row],[E]:[U]])</f>
        <v>0</v>
      </c>
      <c r="AN9" s="5"/>
    </row>
    <row r="10" spans="1:40" ht="16.5" customHeight="1" thickTop="1" thickBot="1" x14ac:dyDescent="0.3">
      <c r="B10" s="90"/>
      <c r="C10" s="103" t="str">
        <f>IFERROR(VLOOKUP(PresençaemNovembro[[#This Row],[ID do Aluno]],ListadeAlunos[],18,FALSE),"")</f>
        <v/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9"/>
      <c r="AG10" s="92"/>
      <c r="AH10" s="92"/>
      <c r="AI10" s="93">
        <f>COUNTIF(PresençaemNovembro[[#This Row],[1]:[ ]],Código1)</f>
        <v>0</v>
      </c>
      <c r="AJ10" s="94">
        <f>COUNTIF(PresençaemNovembro[[#This Row],[1]:[ ]],Código2)</f>
        <v>0</v>
      </c>
      <c r="AK10" s="94">
        <f>COUNTIF(PresençaemNovembro[[#This Row],[1]:[ ]],Código3)</f>
        <v>0</v>
      </c>
      <c r="AL10" s="94">
        <f>COUNTIF(PresençaemNovembro[[#This Row],[1]:[ ]],Código4)</f>
        <v>0</v>
      </c>
      <c r="AM10" s="93">
        <f>SUM(PresençaemNovembro[[#This Row],[E]:[U]])</f>
        <v>0</v>
      </c>
      <c r="AN10" s="7"/>
    </row>
    <row r="11" spans="1:40" ht="16.5" customHeight="1" thickTop="1" thickBot="1" x14ac:dyDescent="0.3">
      <c r="B11" s="90"/>
      <c r="C11" s="103" t="str">
        <f>IFERROR(VLOOKUP(PresençaemNovembro[[#This Row],[ID do Aluno]],ListadeAlunos[],18,FALSE),"")</f>
        <v/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9"/>
      <c r="AG11" s="92"/>
      <c r="AH11" s="92"/>
      <c r="AI11" s="93">
        <f>COUNTIF(PresençaemNovembro[[#This Row],[1]:[ ]],Código1)</f>
        <v>0</v>
      </c>
      <c r="AJ11" s="94">
        <f>COUNTIF(PresençaemNovembro[[#This Row],[1]:[ ]],Código2)</f>
        <v>0</v>
      </c>
      <c r="AK11" s="94">
        <f>COUNTIF(PresençaemNovembro[[#This Row],[1]:[ ]],Código3)</f>
        <v>0</v>
      </c>
      <c r="AL11" s="94">
        <f>COUNTIF(PresençaemNovembro[[#This Row],[1]:[ ]],Código4)</f>
        <v>0</v>
      </c>
      <c r="AM11" s="93">
        <f>SUM(PresençaemNovembro[[#This Row],[E]:[U]])</f>
        <v>0</v>
      </c>
      <c r="AN11" s="7"/>
    </row>
    <row r="12" spans="1:40" ht="16.5" customHeight="1" thickTop="1" thickBot="1" x14ac:dyDescent="0.3">
      <c r="B12" s="84"/>
      <c r="C12" s="89" t="s">
        <v>114</v>
      </c>
      <c r="D12" s="93">
        <f>COUNTIF(PresençaemNovembro[1],"U")+COUNTIF(PresençaemNovembro[1],"E")</f>
        <v>0</v>
      </c>
      <c r="E12" s="93">
        <f>COUNTIF(PresençaemNovembro[2],"U")+COUNTIF(PresençaemNovembro[2],"E")</f>
        <v>0</v>
      </c>
      <c r="F12" s="93">
        <f>COUNTIF(PresençaemNovembro[3],"U")+COUNTIF(PresençaemNovembro[3],"E")</f>
        <v>0</v>
      </c>
      <c r="G12" s="93">
        <f>COUNTIF(PresençaemNovembro[4],"U")+COUNTIF(PresençaemNovembro[4],"E")</f>
        <v>0</v>
      </c>
      <c r="H12" s="93">
        <f>COUNTIF(PresençaemNovembro[5],"U")+COUNTIF(PresençaemNovembro[5],"E")</f>
        <v>0</v>
      </c>
      <c r="I12" s="93">
        <f>COUNTIF(PresençaemNovembro[6],"U")+COUNTIF(PresençaemNovembro[6],"E")</f>
        <v>0</v>
      </c>
      <c r="J12" s="93">
        <f>COUNTIF(PresençaemNovembro[7],"U")+COUNTIF(PresençaemNovembro[7],"E")</f>
        <v>0</v>
      </c>
      <c r="K12" s="93">
        <f>COUNTIF(PresençaemNovembro[8],"U")+COUNTIF(PresençaemNovembro[8],"E")</f>
        <v>0</v>
      </c>
      <c r="L12" s="93">
        <f>COUNTIF(PresençaemNovembro[9],"U")+COUNTIF(PresençaemNovembro[9],"E")</f>
        <v>0</v>
      </c>
      <c r="M12" s="93">
        <f>COUNTIF(PresençaemNovembro[10],"U")+COUNTIF(PresençaemNovembro[10],"E")</f>
        <v>0</v>
      </c>
      <c r="N12" s="93">
        <f>COUNTIF(PresençaemNovembro[11],"U")+COUNTIF(PresençaemNovembro[11],"E")</f>
        <v>0</v>
      </c>
      <c r="O12" s="93">
        <f>COUNTIF(PresençaemNovembro[12],"U")+COUNTIF(PresençaemNovembro[12],"E")</f>
        <v>0</v>
      </c>
      <c r="P12" s="93">
        <f>COUNTIF(PresençaemNovembro[13],"U")+COUNTIF(PresençaemNovembro[13],"E")</f>
        <v>0</v>
      </c>
      <c r="Q12" s="93">
        <f>COUNTIF(PresençaemNovembro[14],"U")+COUNTIF(PresençaemNovembro[14],"E")</f>
        <v>0</v>
      </c>
      <c r="R12" s="93">
        <f>COUNTIF(PresençaemNovembro[15],"U")+COUNTIF(PresençaemNovembro[15],"E")</f>
        <v>0</v>
      </c>
      <c r="S12" s="93">
        <f>COUNTIF(PresençaemNovembro[16],"U")+COUNTIF(PresençaemNovembro[16],"E")</f>
        <v>0</v>
      </c>
      <c r="T12" s="93">
        <f>COUNTIF(PresençaemNovembro[17],"U")+COUNTIF(PresençaemNovembro[17],"E")</f>
        <v>0</v>
      </c>
      <c r="U12" s="93">
        <f>COUNTIF(PresençaemNovembro[18],"U")+COUNTIF(PresençaemNovembro[18],"E")</f>
        <v>0</v>
      </c>
      <c r="V12" s="93">
        <f>COUNTIF(PresençaemNovembro[19],"U")+COUNTIF(PresençaemNovembro[19],"E")</f>
        <v>0</v>
      </c>
      <c r="W12" s="93">
        <f>COUNTIF(PresençaemNovembro[20],"U")+COUNTIF(PresençaemNovembro[20],"E")</f>
        <v>0</v>
      </c>
      <c r="X12" s="93">
        <f>COUNTIF(PresençaemNovembro[21],"U")+COUNTIF(PresençaemNovembro[21],"E")</f>
        <v>0</v>
      </c>
      <c r="Y12" s="93">
        <f>COUNTIF(PresençaemNovembro[22],"U")+COUNTIF(PresençaemNovembro[22],"E")</f>
        <v>0</v>
      </c>
      <c r="Z12" s="93">
        <f>COUNTIF(PresençaemNovembro[23],"U")+COUNTIF(PresençaemNovembro[23],"E")</f>
        <v>0</v>
      </c>
      <c r="AA12" s="93">
        <f>COUNTIF(PresençaemNovembro[24],"U")+COUNTIF(PresençaemNovembro[24],"E")</f>
        <v>0</v>
      </c>
      <c r="AB12" s="93">
        <f>COUNTIF(PresençaemNovembro[25],"U")+COUNTIF(PresençaemNovembro[25],"E")</f>
        <v>0</v>
      </c>
      <c r="AC12" s="93">
        <f>COUNTIF(PresençaemNovembro[26],"U")+COUNTIF(PresençaemNovembro[26],"E")</f>
        <v>0</v>
      </c>
      <c r="AD12" s="93">
        <f>COUNTIF(PresençaemNovembro[27],"U")+COUNTIF(PresençaemNovembro[27],"E")</f>
        <v>0</v>
      </c>
      <c r="AE12" s="93">
        <f>COUNTIF(PresençaemNovembro[28],"U")+COUNTIF(PresençaemNovembro[28],"E")</f>
        <v>0</v>
      </c>
      <c r="AF12" s="93">
        <f>COUNTIF(PresençaemNovembro[29],"U")+COUNTIF(PresençaemNovembro[29],"E")</f>
        <v>0</v>
      </c>
      <c r="AG12" s="93">
        <f>COUNTIF(PresençaemNovembro[30],"U")+COUNTIF(PresençaemNovembro[30],"E")</f>
        <v>0</v>
      </c>
      <c r="AH12" s="93">
        <f>COUNTIF(PresençaemNovembro[[ ]],"U")+COUNTIF(PresençaemNovembro[[ ]],"E")</f>
        <v>0</v>
      </c>
      <c r="AI12" s="93">
        <f>SUBTOTAL(109,PresençaemNovembro[T])</f>
        <v>1</v>
      </c>
      <c r="AJ12" s="93">
        <f>SUBTOTAL(109,PresençaemNovembro[E])</f>
        <v>0</v>
      </c>
      <c r="AK12" s="93">
        <f>SUBTOTAL(109,PresençaemNovembro[U])</f>
        <v>0</v>
      </c>
      <c r="AL12" s="93">
        <f>SUBTOTAL(109,PresençaemNovembro[P])</f>
        <v>0</v>
      </c>
      <c r="AM12" s="93">
        <f>SUBTOTAL(109,PresençaemNovembro[Dias de Ausência])</f>
        <v>0</v>
      </c>
    </row>
    <row r="13" spans="1:40" ht="16.5" customHeight="1" thickTop="1" x14ac:dyDescent="0.25"/>
    <row r="14" spans="1:40" ht="16.5" customHeight="1" x14ac:dyDescent="0.25"/>
    <row r="15" spans="1:40" ht="16.5" customHeight="1" x14ac:dyDescent="0.25"/>
    <row r="16" spans="1:40" ht="16.5" customHeight="1" x14ac:dyDescent="0.25"/>
    <row r="17" ht="16.5" customHeight="1" x14ac:dyDescent="0.25"/>
    <row r="18" ht="16.5" customHeight="1" x14ac:dyDescent="0.25"/>
    <row r="19" ht="16.5" customHeight="1" x14ac:dyDescent="0.25"/>
    <row r="20" ht="16.5" customHeight="1" x14ac:dyDescent="0.25"/>
    <row r="21" ht="16.5" customHeight="1" x14ac:dyDescent="0.25"/>
    <row r="22" ht="16.5" customHeight="1" x14ac:dyDescent="0.25"/>
    <row r="23" ht="16.5" customHeight="1" x14ac:dyDescent="0.25"/>
    <row r="24" ht="16.5" customHeight="1" x14ac:dyDescent="0.25"/>
    <row r="25" ht="16.5" customHeight="1" x14ac:dyDescent="0.25"/>
    <row r="26" ht="16.5" customHeight="1" x14ac:dyDescent="0.25"/>
    <row r="27" ht="16.5" customHeight="1" x14ac:dyDescent="0.25"/>
    <row r="28" ht="16.5" customHeight="1" x14ac:dyDescent="0.25"/>
    <row r="29" ht="16.5" customHeight="1" x14ac:dyDescent="0.25"/>
    <row r="30" ht="16.5" customHeight="1" x14ac:dyDescent="0.25"/>
    <row r="31" ht="16.5" customHeight="1" x14ac:dyDescent="0.25"/>
    <row r="32" ht="16.5" customHeight="1" x14ac:dyDescent="0.25"/>
    <row r="33" ht="16.5" customHeight="1" x14ac:dyDescent="0.25"/>
    <row r="34" ht="16.5" customHeight="1" x14ac:dyDescent="0.25"/>
    <row r="35" ht="16.5" customHeight="1" x14ac:dyDescent="0.25"/>
    <row r="36" ht="16.5" customHeight="1" x14ac:dyDescent="0.25"/>
    <row r="37" ht="16.5" customHeight="1" x14ac:dyDescent="0.25"/>
    <row r="38" ht="16.5" customHeight="1" x14ac:dyDescent="0.25"/>
    <row r="39" ht="16.5" customHeight="1" x14ac:dyDescent="0.25"/>
    <row r="40" ht="16.5" customHeight="1" x14ac:dyDescent="0.25"/>
    <row r="41" ht="16.5" customHeight="1" x14ac:dyDescent="0.25"/>
    <row r="42" ht="16.5" customHeight="1" x14ac:dyDescent="0.25"/>
    <row r="43" ht="16.5" customHeight="1" x14ac:dyDescent="0.25"/>
    <row r="44" ht="16.5" customHeight="1" x14ac:dyDescent="0.25"/>
    <row r="45" ht="16.5" customHeight="1" x14ac:dyDescent="0.25"/>
    <row r="46" ht="16.5" customHeight="1" x14ac:dyDescent="0.25"/>
    <row r="47" ht="16.5" customHeight="1" x14ac:dyDescent="0.25"/>
    <row r="48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2" ht="16.5" customHeight="1" x14ac:dyDescent="0.25"/>
    <row r="63" ht="16.5" customHeight="1" x14ac:dyDescent="0.25"/>
    <row r="64" ht="16.5" customHeight="1" x14ac:dyDescent="0.25"/>
    <row r="65" ht="16.5" customHeight="1" x14ac:dyDescent="0.25"/>
    <row r="66" ht="16.5" customHeight="1" x14ac:dyDescent="0.25"/>
    <row r="67" ht="16.5" customHeight="1" x14ac:dyDescent="0.25"/>
    <row r="68" ht="16.5" customHeight="1" x14ac:dyDescent="0.25"/>
    <row r="69" ht="16.5" customHeight="1" x14ac:dyDescent="0.25"/>
    <row r="70" ht="16.5" customHeight="1" x14ac:dyDescent="0.25"/>
    <row r="71" ht="16.5" customHeight="1" x14ac:dyDescent="0.25"/>
    <row r="72" ht="16.5" customHeight="1" x14ac:dyDescent="0.25"/>
    <row r="73" ht="16.5" customHeight="1" x14ac:dyDescent="0.25"/>
    <row r="74" ht="16.5" customHeight="1" x14ac:dyDescent="0.25"/>
    <row r="75" ht="16.5" customHeight="1" x14ac:dyDescent="0.25"/>
    <row r="76" ht="16.5" customHeight="1" x14ac:dyDescent="0.25"/>
    <row r="77" ht="16.5" customHeight="1" x14ac:dyDescent="0.25"/>
    <row r="78" ht="16.5" customHeight="1" x14ac:dyDescent="0.25"/>
    <row r="79" ht="16.5" customHeight="1" x14ac:dyDescent="0.25"/>
    <row r="80" ht="16.5" customHeight="1" x14ac:dyDescent="0.25"/>
    <row r="81" ht="16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  <row r="87" ht="16.5" customHeight="1" x14ac:dyDescent="0.25"/>
    <row r="88" ht="16.5" customHeight="1" x14ac:dyDescent="0.25"/>
    <row r="89" ht="16.5" customHeight="1" x14ac:dyDescent="0.25"/>
    <row r="90" ht="16.5" customHeight="1" x14ac:dyDescent="0.25"/>
    <row r="91" ht="16.5" customHeight="1" x14ac:dyDescent="0.25"/>
    <row r="92" ht="16.5" customHeight="1" x14ac:dyDescent="0.25"/>
    <row r="93" ht="16.5" customHeight="1" x14ac:dyDescent="0.25"/>
    <row r="94" ht="16.5" customHeight="1" x14ac:dyDescent="0.25"/>
    <row r="95" ht="16.5" customHeight="1" x14ac:dyDescent="0.25"/>
    <row r="96" ht="16.5" customHeight="1" x14ac:dyDescent="0.25"/>
    <row r="97" ht="16.5" customHeight="1" x14ac:dyDescent="0.25"/>
    <row r="98" ht="16.5" customHeight="1" x14ac:dyDescent="0.25"/>
    <row r="99" ht="16.5" customHeight="1" x14ac:dyDescent="0.25"/>
    <row r="100" ht="16.5" customHeight="1" x14ac:dyDescent="0.25"/>
    <row r="101" ht="16.5" customHeight="1" x14ac:dyDescent="0.25"/>
    <row r="102" ht="16.5" customHeight="1" x14ac:dyDescent="0.25"/>
    <row r="103" ht="16.5" customHeight="1" x14ac:dyDescent="0.25"/>
    <row r="104" ht="16.5" customHeight="1" x14ac:dyDescent="0.25"/>
    <row r="105" ht="16.5" customHeight="1" x14ac:dyDescent="0.25"/>
    <row r="106" ht="16.5" customHeight="1" x14ac:dyDescent="0.25"/>
    <row r="107" ht="16.5" customHeight="1" x14ac:dyDescent="0.25"/>
    <row r="108" ht="16.5" customHeight="1" x14ac:dyDescent="0.25"/>
    <row r="109" ht="16.5" customHeight="1" x14ac:dyDescent="0.25"/>
    <row r="110" ht="16.5" customHeight="1" x14ac:dyDescent="0.25"/>
    <row r="111" ht="16.5" customHeight="1" x14ac:dyDescent="0.25"/>
    <row r="112" ht="16.5" customHeight="1" x14ac:dyDescent="0.25"/>
    <row r="113" ht="16.5" customHeight="1" x14ac:dyDescent="0.25"/>
    <row r="114" ht="16.5" customHeight="1" x14ac:dyDescent="0.25"/>
    <row r="115" ht="16.5" customHeight="1" x14ac:dyDescent="0.25"/>
    <row r="116" ht="16.5" customHeight="1" x14ac:dyDescent="0.25"/>
    <row r="117" ht="16.5" customHeight="1" x14ac:dyDescent="0.25"/>
    <row r="118" ht="16.5" customHeight="1" x14ac:dyDescent="0.25"/>
    <row r="119" ht="16.5" customHeight="1" x14ac:dyDescent="0.25"/>
    <row r="120" ht="16.5" customHeight="1" x14ac:dyDescent="0.25"/>
    <row r="121" ht="16.5" customHeight="1" x14ac:dyDescent="0.25"/>
    <row r="122" ht="16.5" customHeight="1" x14ac:dyDescent="0.25"/>
    <row r="123" ht="16.5" customHeight="1" x14ac:dyDescent="0.25"/>
    <row r="124" ht="16.5" customHeight="1" x14ac:dyDescent="0.25"/>
    <row r="125" ht="16.5" customHeight="1" x14ac:dyDescent="0.25"/>
    <row r="126" ht="16.5" customHeight="1" x14ac:dyDescent="0.25"/>
    <row r="127" ht="16.5" customHeight="1" x14ac:dyDescent="0.25"/>
    <row r="128" ht="16.5" customHeight="1" x14ac:dyDescent="0.25"/>
    <row r="129" ht="16.5" customHeight="1" x14ac:dyDescent="0.25"/>
    <row r="130" ht="16.5" customHeight="1" x14ac:dyDescent="0.25"/>
    <row r="131" ht="16.5" customHeight="1" x14ac:dyDescent="0.25"/>
    <row r="132" ht="16.5" customHeight="1" x14ac:dyDescent="0.25"/>
    <row r="133" ht="16.5" customHeight="1" x14ac:dyDescent="0.25"/>
    <row r="134" ht="16.5" customHeight="1" x14ac:dyDescent="0.25"/>
    <row r="135" ht="16.5" customHeight="1" x14ac:dyDescent="0.25"/>
    <row r="136" ht="16.5" customHeight="1" x14ac:dyDescent="0.25"/>
    <row r="137" ht="16.5" customHeight="1" x14ac:dyDescent="0.25"/>
    <row r="138" ht="16.5" customHeight="1" x14ac:dyDescent="0.25"/>
    <row r="139" ht="16.5" customHeight="1" x14ac:dyDescent="0.25"/>
    <row r="140" ht="16.5" customHeight="1" x14ac:dyDescent="0.25"/>
    <row r="141" ht="16.5" customHeight="1" x14ac:dyDescent="0.25"/>
    <row r="142" ht="16.5" customHeight="1" x14ac:dyDescent="0.25"/>
    <row r="143" ht="16.5" customHeight="1" x14ac:dyDescent="0.25"/>
    <row r="144" ht="16.5" customHeight="1" x14ac:dyDescent="0.25"/>
    <row r="145" ht="16.5" customHeight="1" x14ac:dyDescent="0.25"/>
    <row r="146" ht="16.5" customHeight="1" x14ac:dyDescent="0.25"/>
    <row r="147" ht="16.5" customHeight="1" x14ac:dyDescent="0.25"/>
    <row r="148" ht="16.5" customHeight="1" x14ac:dyDescent="0.25"/>
    <row r="149" ht="16.5" customHeight="1" x14ac:dyDescent="0.25"/>
    <row r="150" ht="16.5" customHeight="1" x14ac:dyDescent="0.25"/>
    <row r="151" ht="16.5" customHeight="1" x14ac:dyDescent="0.25"/>
    <row r="152" ht="16.5" customHeight="1" x14ac:dyDescent="0.25"/>
    <row r="153" ht="16.5" customHeight="1" x14ac:dyDescent="0.25"/>
    <row r="154" ht="16.5" customHeight="1" x14ac:dyDescent="0.25"/>
    <row r="155" ht="16.5" customHeight="1" x14ac:dyDescent="0.25"/>
    <row r="156" ht="16.5" customHeight="1" x14ac:dyDescent="0.25"/>
    <row r="157" ht="16.5" customHeight="1" x14ac:dyDescent="0.25"/>
    <row r="158" ht="16.5" customHeight="1" x14ac:dyDescent="0.25"/>
    <row r="159" ht="16.5" customHeight="1" x14ac:dyDescent="0.25"/>
    <row r="160" ht="16.5" customHeight="1" x14ac:dyDescent="0.25"/>
    <row r="161" ht="16.5" customHeight="1" x14ac:dyDescent="0.25"/>
    <row r="162" ht="16.5" customHeight="1" x14ac:dyDescent="0.25"/>
    <row r="163" ht="16.5" customHeight="1" x14ac:dyDescent="0.25"/>
    <row r="164" ht="16.5" customHeight="1" x14ac:dyDescent="0.25"/>
    <row r="165" ht="16.5" customHeight="1" x14ac:dyDescent="0.25"/>
    <row r="166" ht="16.5" customHeight="1" x14ac:dyDescent="0.25"/>
    <row r="167" ht="16.5" customHeight="1" x14ac:dyDescent="0.25"/>
    <row r="168" ht="16.5" customHeight="1" x14ac:dyDescent="0.25"/>
    <row r="169" ht="16.5" customHeight="1" x14ac:dyDescent="0.25"/>
    <row r="170" ht="16.5" customHeight="1" x14ac:dyDescent="0.25"/>
    <row r="171" ht="16.5" customHeight="1" x14ac:dyDescent="0.25"/>
    <row r="172" ht="16.5" customHeight="1" x14ac:dyDescent="0.25"/>
    <row r="173" ht="16.5" customHeight="1" x14ac:dyDescent="0.25"/>
    <row r="174" ht="16.5" customHeight="1" x14ac:dyDescent="0.25"/>
    <row r="175" ht="16.5" customHeight="1" x14ac:dyDescent="0.25"/>
    <row r="176" ht="16.5" customHeight="1" x14ac:dyDescent="0.25"/>
    <row r="177" ht="16.5" customHeight="1" x14ac:dyDescent="0.25"/>
    <row r="178" ht="16.5" customHeight="1" x14ac:dyDescent="0.25"/>
    <row r="179" ht="16.5" customHeight="1" x14ac:dyDescent="0.25"/>
    <row r="180" ht="16.5" customHeight="1" x14ac:dyDescent="0.25"/>
    <row r="181" ht="16.5" customHeight="1" x14ac:dyDescent="0.25"/>
    <row r="182" ht="16.5" customHeight="1" x14ac:dyDescent="0.25"/>
    <row r="183" ht="16.5" customHeight="1" x14ac:dyDescent="0.25"/>
    <row r="184" ht="16.5" customHeight="1" x14ac:dyDescent="0.25"/>
    <row r="185" ht="16.5" customHeight="1" x14ac:dyDescent="0.25"/>
    <row r="186" ht="16.5" customHeight="1" x14ac:dyDescent="0.25"/>
    <row r="187" ht="16.5" customHeight="1" x14ac:dyDescent="0.25"/>
    <row r="188" ht="16.5" customHeight="1" x14ac:dyDescent="0.25"/>
    <row r="189" ht="16.5" customHeight="1" x14ac:dyDescent="0.25"/>
    <row r="190" ht="16.5" customHeight="1" x14ac:dyDescent="0.25"/>
    <row r="191" ht="16.5" customHeight="1" x14ac:dyDescent="0.25"/>
    <row r="192" ht="16.5" customHeight="1" x14ac:dyDescent="0.25"/>
    <row r="193" ht="16.5" customHeight="1" x14ac:dyDescent="0.25"/>
    <row r="194" ht="16.5" customHeight="1" x14ac:dyDescent="0.25"/>
    <row r="195" ht="16.5" customHeight="1" x14ac:dyDescent="0.25"/>
    <row r="196" ht="16.5" customHeight="1" x14ac:dyDescent="0.25"/>
    <row r="197" ht="16.5" customHeight="1" x14ac:dyDescent="0.25"/>
    <row r="198" ht="16.5" customHeight="1" x14ac:dyDescent="0.25"/>
    <row r="199" ht="16.5" customHeight="1" x14ac:dyDescent="0.25"/>
    <row r="200" ht="16.5" customHeight="1" x14ac:dyDescent="0.25"/>
    <row r="201" ht="16.5" customHeight="1" x14ac:dyDescent="0.25"/>
    <row r="202" ht="16.5" customHeight="1" x14ac:dyDescent="0.25"/>
    <row r="203" ht="16.5" customHeight="1" x14ac:dyDescent="0.25"/>
    <row r="204" ht="16.5" customHeight="1" x14ac:dyDescent="0.25"/>
    <row r="205" ht="16.5" customHeight="1" x14ac:dyDescent="0.25"/>
    <row r="206" ht="16.5" customHeight="1" x14ac:dyDescent="0.25"/>
    <row r="207" ht="16.5" customHeight="1" x14ac:dyDescent="0.25"/>
    <row r="208" ht="16.5" customHeight="1" x14ac:dyDescent="0.25"/>
    <row r="209" ht="16.5" customHeight="1" x14ac:dyDescent="0.25"/>
    <row r="210" ht="16.5" customHeight="1" x14ac:dyDescent="0.25"/>
    <row r="211" ht="16.5" customHeight="1" x14ac:dyDescent="0.25"/>
    <row r="212" ht="16.5" customHeight="1" x14ac:dyDescent="0.25"/>
    <row r="213" ht="16.5" customHeight="1" x14ac:dyDescent="0.25"/>
    <row r="214" ht="16.5" customHeight="1" x14ac:dyDescent="0.25"/>
    <row r="215" ht="16.5" customHeight="1" x14ac:dyDescent="0.25"/>
    <row r="216" ht="16.5" customHeight="1" x14ac:dyDescent="0.25"/>
    <row r="217" ht="16.5" customHeight="1" x14ac:dyDescent="0.25"/>
    <row r="218" ht="16.5" customHeight="1" x14ac:dyDescent="0.25"/>
    <row r="219" ht="16.5" customHeight="1" x14ac:dyDescent="0.25"/>
    <row r="220" ht="16.5" customHeight="1" x14ac:dyDescent="0.25"/>
    <row r="221" ht="16.5" customHeight="1" x14ac:dyDescent="0.25"/>
    <row r="222" ht="16.5" customHeight="1" x14ac:dyDescent="0.25"/>
    <row r="223" ht="16.5" customHeight="1" x14ac:dyDescent="0.25"/>
    <row r="224" ht="16.5" customHeight="1" x14ac:dyDescent="0.25"/>
    <row r="225" ht="16.5" customHeight="1" x14ac:dyDescent="0.25"/>
    <row r="226" ht="16.5" customHeight="1" x14ac:dyDescent="0.25"/>
    <row r="227" ht="16.5" customHeight="1" x14ac:dyDescent="0.25"/>
    <row r="228" ht="16.5" customHeight="1" x14ac:dyDescent="0.25"/>
    <row r="229" ht="16.5" customHeight="1" x14ac:dyDescent="0.25"/>
    <row r="230" ht="16.5" customHeight="1" x14ac:dyDescent="0.25"/>
    <row r="231" ht="16.5" customHeight="1" x14ac:dyDescent="0.25"/>
    <row r="232" ht="16.5" customHeight="1" x14ac:dyDescent="0.25"/>
    <row r="233" ht="16.5" customHeight="1" x14ac:dyDescent="0.25"/>
    <row r="234" ht="16.5" customHeight="1" x14ac:dyDescent="0.25"/>
    <row r="235" ht="16.5" customHeight="1" x14ac:dyDescent="0.25"/>
    <row r="236" ht="16.5" customHeight="1" x14ac:dyDescent="0.25"/>
    <row r="237" ht="16.5" customHeight="1" x14ac:dyDescent="0.25"/>
    <row r="238" ht="16.5" customHeight="1" x14ac:dyDescent="0.25"/>
    <row r="239" ht="16.5" customHeight="1" x14ac:dyDescent="0.25"/>
    <row r="240" ht="16.5" customHeight="1" x14ac:dyDescent="0.25"/>
    <row r="241" ht="16.5" customHeight="1" x14ac:dyDescent="0.25"/>
    <row r="242" ht="16.5" customHeight="1" x14ac:dyDescent="0.25"/>
    <row r="243" ht="16.5" customHeight="1" x14ac:dyDescent="0.25"/>
    <row r="244" ht="16.5" customHeight="1" x14ac:dyDescent="0.25"/>
    <row r="245" ht="16.5" customHeight="1" x14ac:dyDescent="0.25"/>
    <row r="246" ht="16.5" customHeight="1" x14ac:dyDescent="0.25"/>
    <row r="247" ht="16.5" customHeight="1" x14ac:dyDescent="0.25"/>
    <row r="248" ht="16.5" customHeight="1" x14ac:dyDescent="0.25"/>
    <row r="249" ht="16.5" customHeight="1" x14ac:dyDescent="0.25"/>
    <row r="250" ht="16.5" customHeight="1" x14ac:dyDescent="0.25"/>
    <row r="251" ht="16.5" customHeight="1" x14ac:dyDescent="0.25"/>
    <row r="252" ht="16.5" customHeight="1" x14ac:dyDescent="0.25"/>
    <row r="253" ht="16.5" customHeight="1" x14ac:dyDescent="0.25"/>
    <row r="254" ht="16.5" customHeight="1" x14ac:dyDescent="0.25"/>
    <row r="255" ht="16.5" customHeight="1" x14ac:dyDescent="0.25"/>
    <row r="256" ht="16.5" customHeight="1" x14ac:dyDescent="0.25"/>
    <row r="257" ht="16.5" customHeight="1" x14ac:dyDescent="0.25"/>
    <row r="258" ht="16.5" customHeight="1" x14ac:dyDescent="0.25"/>
    <row r="259" ht="16.5" customHeight="1" x14ac:dyDescent="0.25"/>
    <row r="260" ht="16.5" customHeight="1" x14ac:dyDescent="0.25"/>
    <row r="261" ht="16.5" customHeight="1" x14ac:dyDescent="0.25"/>
    <row r="262" ht="16.5" customHeight="1" x14ac:dyDescent="0.25"/>
    <row r="263" ht="16.5" customHeight="1" x14ac:dyDescent="0.25"/>
    <row r="264" ht="16.5" customHeight="1" x14ac:dyDescent="0.25"/>
    <row r="265" ht="16.5" customHeight="1" x14ac:dyDescent="0.25"/>
    <row r="266" ht="16.5" customHeight="1" x14ac:dyDescent="0.25"/>
    <row r="267" ht="16.5" customHeight="1" x14ac:dyDescent="0.25"/>
    <row r="268" ht="16.5" customHeight="1" x14ac:dyDescent="0.25"/>
    <row r="269" ht="16.5" customHeight="1" x14ac:dyDescent="0.25"/>
    <row r="270" ht="16.5" customHeight="1" x14ac:dyDescent="0.25"/>
    <row r="271" ht="16.5" customHeight="1" x14ac:dyDescent="0.25"/>
    <row r="272" ht="16.5" customHeight="1" x14ac:dyDescent="0.25"/>
    <row r="273" ht="16.5" customHeight="1" x14ac:dyDescent="0.25"/>
    <row r="274" ht="16.5" customHeight="1" x14ac:dyDescent="0.25"/>
    <row r="275" ht="16.5" customHeight="1" x14ac:dyDescent="0.25"/>
    <row r="276" ht="16.5" customHeight="1" x14ac:dyDescent="0.25"/>
    <row r="277" ht="16.5" customHeight="1" x14ac:dyDescent="0.25"/>
    <row r="278" ht="16.5" customHeight="1" x14ac:dyDescent="0.25"/>
    <row r="279" ht="16.5" customHeight="1" x14ac:dyDescent="0.25"/>
    <row r="280" ht="16.5" customHeight="1" x14ac:dyDescent="0.25"/>
    <row r="281" ht="16.5" customHeight="1" x14ac:dyDescent="0.25"/>
    <row r="282" ht="16.5" customHeight="1" x14ac:dyDescent="0.25"/>
    <row r="283" ht="16.5" customHeight="1" x14ac:dyDescent="0.25"/>
    <row r="284" ht="16.5" customHeight="1" x14ac:dyDescent="0.25"/>
    <row r="285" ht="16.5" customHeight="1" x14ac:dyDescent="0.25"/>
    <row r="286" ht="16.5" customHeight="1" x14ac:dyDescent="0.25"/>
    <row r="287" ht="16.5" customHeight="1" x14ac:dyDescent="0.25"/>
    <row r="288" ht="16.5" customHeight="1" x14ac:dyDescent="0.25"/>
    <row r="289" ht="16.5" customHeight="1" x14ac:dyDescent="0.25"/>
    <row r="290" ht="16.5" customHeight="1" x14ac:dyDescent="0.25"/>
    <row r="291" ht="16.5" customHeight="1" x14ac:dyDescent="0.25"/>
    <row r="292" ht="16.5" customHeight="1" x14ac:dyDescent="0.25"/>
    <row r="293" ht="16.5" customHeight="1" x14ac:dyDescent="0.25"/>
    <row r="294" ht="16.5" customHeight="1" x14ac:dyDescent="0.25"/>
    <row r="295" ht="16.5" customHeight="1" x14ac:dyDescent="0.25"/>
    <row r="296" ht="16.5" customHeight="1" x14ac:dyDescent="0.25"/>
    <row r="297" ht="16.5" customHeight="1" x14ac:dyDescent="0.25"/>
    <row r="298" ht="16.5" customHeight="1" x14ac:dyDescent="0.25"/>
    <row r="299" ht="16.5" customHeight="1" x14ac:dyDescent="0.25"/>
    <row r="300" ht="16.5" customHeight="1" x14ac:dyDescent="0.25"/>
    <row r="301" ht="16.5" customHeight="1" x14ac:dyDescent="0.25"/>
    <row r="302" ht="16.5" customHeight="1" x14ac:dyDescent="0.25"/>
    <row r="303" ht="16.5" customHeight="1" x14ac:dyDescent="0.25"/>
    <row r="304" ht="16.5" customHeight="1" x14ac:dyDescent="0.25"/>
    <row r="305" ht="16.5" customHeight="1" x14ac:dyDescent="0.25"/>
    <row r="306" ht="16.5" customHeight="1" x14ac:dyDescent="0.25"/>
    <row r="307" ht="16.5" customHeight="1" x14ac:dyDescent="0.25"/>
    <row r="308" ht="16.5" customHeight="1" x14ac:dyDescent="0.25"/>
    <row r="309" ht="16.5" customHeight="1" x14ac:dyDescent="0.25"/>
    <row r="310" ht="16.5" customHeight="1" x14ac:dyDescent="0.25"/>
    <row r="311" ht="16.5" customHeight="1" x14ac:dyDescent="0.25"/>
    <row r="312" ht="16.5" customHeight="1" x14ac:dyDescent="0.25"/>
    <row r="313" ht="16.5" customHeight="1" x14ac:dyDescent="0.25"/>
    <row r="314" ht="16.5" customHeight="1" x14ac:dyDescent="0.25"/>
    <row r="315" ht="16.5" customHeight="1" x14ac:dyDescent="0.25"/>
    <row r="316" ht="16.5" customHeight="1" x14ac:dyDescent="0.25"/>
    <row r="317" ht="16.5" customHeight="1" x14ac:dyDescent="0.25"/>
    <row r="318" ht="16.5" customHeight="1" x14ac:dyDescent="0.25"/>
    <row r="319" ht="16.5" customHeight="1" x14ac:dyDescent="0.25"/>
    <row r="320" ht="16.5" customHeight="1" x14ac:dyDescent="0.25"/>
    <row r="321" ht="16.5" customHeight="1" x14ac:dyDescent="0.25"/>
    <row r="322" ht="16.5" customHeight="1" x14ac:dyDescent="0.25"/>
    <row r="323" ht="16.5" customHeight="1" x14ac:dyDescent="0.25"/>
    <row r="324" ht="16.5" customHeight="1" x14ac:dyDescent="0.25"/>
    <row r="325" ht="16.5" customHeight="1" x14ac:dyDescent="0.25"/>
    <row r="326" ht="16.5" customHeight="1" x14ac:dyDescent="0.25"/>
    <row r="327" ht="16.5" customHeight="1" x14ac:dyDescent="0.25"/>
    <row r="328" ht="16.5" customHeight="1" x14ac:dyDescent="0.25"/>
    <row r="329" ht="16.5" customHeight="1" x14ac:dyDescent="0.25"/>
    <row r="330" ht="16.5" customHeight="1" x14ac:dyDescent="0.25"/>
    <row r="331" ht="16.5" customHeight="1" x14ac:dyDescent="0.25"/>
    <row r="332" ht="16.5" customHeight="1" x14ac:dyDescent="0.25"/>
    <row r="333" ht="16.5" customHeight="1" x14ac:dyDescent="0.25"/>
    <row r="334" ht="16.5" customHeight="1" x14ac:dyDescent="0.25"/>
    <row r="335" ht="16.5" customHeight="1" x14ac:dyDescent="0.25"/>
    <row r="336" ht="16.5" customHeight="1" x14ac:dyDescent="0.25"/>
    <row r="337" ht="16.5" customHeight="1" x14ac:dyDescent="0.25"/>
    <row r="338" ht="16.5" customHeight="1" x14ac:dyDescent="0.25"/>
    <row r="339" ht="16.5" customHeight="1" x14ac:dyDescent="0.25"/>
    <row r="340" ht="16.5" customHeight="1" x14ac:dyDescent="0.25"/>
    <row r="341" ht="16.5" customHeight="1" x14ac:dyDescent="0.25"/>
    <row r="342" ht="16.5" customHeight="1" x14ac:dyDescent="0.25"/>
    <row r="343" ht="16.5" customHeight="1" x14ac:dyDescent="0.25"/>
    <row r="344" ht="16.5" customHeight="1" x14ac:dyDescent="0.25"/>
    <row r="345" ht="16.5" customHeight="1" x14ac:dyDescent="0.25"/>
    <row r="346" ht="16.5" customHeight="1" x14ac:dyDescent="0.25"/>
  </sheetData>
  <sheetProtection formatCells="0" formatColumns="0" formatRows="0" insertColumns="0" insertRows="0" insertHyperlinks="0" deleteColumns="0" deleteRows="0" sort="0" autoFilter="0" pivotTables="0"/>
  <mergeCells count="1">
    <mergeCell ref="AI5:AM5"/>
  </mergeCells>
  <conditionalFormatting sqref="D7:AF11">
    <cfRule type="expression" dxfId="62" priority="1" stopIfTrue="1">
      <formula>D7=Código2</formula>
    </cfRule>
    <cfRule type="expression" dxfId="61" priority="2" stopIfTrue="1">
      <formula>D7=Código5</formula>
    </cfRule>
    <cfRule type="expression" dxfId="60" priority="3" stopIfTrue="1">
      <formula>D7=Código4</formula>
    </cfRule>
    <cfRule type="expression" dxfId="59" priority="4" stopIfTrue="1">
      <formula>D7=Código3</formula>
    </cfRule>
    <cfRule type="expression" dxfId="58" priority="5" stopIfTrue="1">
      <formula>D7=Código1</formula>
    </cfRule>
  </conditionalFormatting>
  <conditionalFormatting sqref="AG7:AH11">
    <cfRule type="expression" dxfId="57" priority="8" stopIfTrue="1">
      <formula>AG7=Código5</formula>
    </cfRule>
    <cfRule type="expression" dxfId="56" priority="9" stopIfTrue="1">
      <formula>AG7=Código4</formula>
    </cfRule>
    <cfRule type="expression" dxfId="55" priority="10" stopIfTrue="1">
      <formula>AG7=Código3</formula>
    </cfRule>
    <cfRule type="expression" dxfId="54" priority="11" stopIfTrue="1">
      <formula>AG7=Código1</formula>
    </cfRule>
  </conditionalFormatting>
  <conditionalFormatting sqref="AG7:AI11">
    <cfRule type="expression" dxfId="53" priority="7" stopIfTrue="1">
      <formula>AG7=Código2</formula>
    </cfRule>
  </conditionalFormatting>
  <conditionalFormatting sqref="AM7:AM11">
    <cfRule type="dataBar" priority="6">
      <dataBar>
        <cfvo type="min"/>
        <cfvo type="num" val="31"/>
        <color theme="4"/>
      </dataBar>
      <extLst>
        <ext xmlns:x14="http://schemas.microsoft.com/office/spreadsheetml/2009/9/main" uri="{B025F937-C7B1-47D3-B67F-A62EFF666E3E}">
          <x14:id>{4EF7D5CF-EA6D-4C42-92A1-96F3633946CC}</x14:id>
        </ext>
      </extLst>
    </cfRule>
  </conditionalFormatting>
  <dataValidations count="1">
    <dataValidation type="list" errorStyle="warning" allowBlank="1" showInputMessage="1" showErrorMessage="1" errorTitle="Ops!" error="A ID de Aluno que você inseriu não está na planilha Lista de Alunos. Você pode clicar em Sim para usar a ID de Aluno inserida, mas ela não estará disponível na planilha Relatório de Presença dos Alunos." sqref="B7:B11" xr:uid="{00000000-0002-0000-0600-000000000000}">
      <formula1>IDAluno</formula1>
    </dataValidation>
  </dataValidations>
  <printOptions horizontalCentered="1"/>
  <pageMargins left="0.5" right="0.5" top="0.75" bottom="0.75" header="0.3" footer="0.3"/>
  <pageSetup paperSize="9" scale="59" fitToHeight="0" orientation="landscape" verticalDpi="1200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EF7D5CF-EA6D-4C42-92A1-96F3633946CC}">
            <x14:dataBar minLength="0" maxLength="100" border="1" negativeBarBorderColorSameAsPositive="0">
              <x14:cfvo type="autoMin"/>
              <x14:cfvo type="num">
                <xm:f>31</xm:f>
              </x14:cfvo>
              <x14:borderColor theme="4"/>
              <x14:negativeFillColor rgb="FFFF0000"/>
              <x14:negativeBorderColor rgb="FFFF0000"/>
              <x14:axisColor rgb="FF000000"/>
            </x14:dataBar>
          </x14:cfRule>
          <xm:sqref>AM7:AM11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59999389629810485"/>
    <pageSetUpPr fitToPage="1"/>
  </sheetPr>
  <dimension ref="A1:AN346"/>
  <sheetViews>
    <sheetView showGridLines="0" zoomScaleNormal="100" workbookViewId="0">
      <pane xSplit="3" ySplit="6" topLeftCell="Q7" activePane="bottomRight" state="frozen"/>
      <selection activeCell="Y16" sqref="Y16"/>
      <selection pane="topRight" activeCell="Y16" sqref="Y16"/>
      <selection pane="bottomLeft" activeCell="Y16" sqref="Y16"/>
      <selection pane="bottomRight" activeCell="K1" sqref="K1"/>
    </sheetView>
  </sheetViews>
  <sheetFormatPr defaultColWidth="9.109375" defaultRowHeight="15" customHeight="1" x14ac:dyDescent="0.25"/>
  <cols>
    <col min="1" max="1" width="2.6640625" style="8" customWidth="1"/>
    <col min="2" max="2" width="11.88671875" style="8" bestFit="1" customWidth="1"/>
    <col min="3" max="3" width="28.88671875" style="9" customWidth="1"/>
    <col min="4" max="34" width="5" style="7" customWidth="1"/>
    <col min="35" max="35" width="4.6640625" style="6" customWidth="1"/>
    <col min="36" max="36" width="4.6640625" style="7" customWidth="1"/>
    <col min="37" max="38" width="4.6640625" style="8" customWidth="1"/>
    <col min="39" max="39" width="19.5546875" style="8" bestFit="1" customWidth="1"/>
    <col min="40" max="16384" width="9.109375" style="8"/>
  </cols>
  <sheetData>
    <row r="1" spans="1:40" s="1" customFormat="1" ht="42" customHeight="1" x14ac:dyDescent="0.25">
      <c r="A1" s="21" t="s">
        <v>88</v>
      </c>
      <c r="B1" s="22"/>
      <c r="C1" s="22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2"/>
      <c r="AD1" s="22"/>
      <c r="AE1" s="22"/>
      <c r="AF1" s="22"/>
      <c r="AG1" s="24"/>
      <c r="AH1" s="22"/>
      <c r="AI1" s="22"/>
      <c r="AJ1" s="25"/>
      <c r="AK1" s="22"/>
      <c r="AL1" s="34" t="s">
        <v>72</v>
      </c>
      <c r="AM1" s="35">
        <f>AnoCalendário</f>
        <v>2016</v>
      </c>
    </row>
    <row r="2" spans="1:40" customFormat="1" ht="13.2" x14ac:dyDescent="0.25"/>
    <row r="3" spans="1:40" s="17" customFormat="1" ht="12.75" customHeight="1" x14ac:dyDescent="0.25">
      <c r="C3" s="27" t="str">
        <f>TextodaChavedeCor</f>
        <v xml:space="preserve">CHAVE COLORIDA </v>
      </c>
      <c r="D3" s="28" t="str">
        <f>Código1</f>
        <v>T</v>
      </c>
      <c r="E3" s="41" t="str">
        <f>TextodeCódigo1</f>
        <v>Atrasado</v>
      </c>
      <c r="F3" s="33"/>
      <c r="H3" s="29" t="str">
        <f>Código2</f>
        <v>E</v>
      </c>
      <c r="I3" s="33" t="str">
        <f>TextodeCódigo2</f>
        <v>Dispensado</v>
      </c>
      <c r="L3" s="30" t="str">
        <f>Código3</f>
        <v>F</v>
      </c>
      <c r="M3" s="33" t="str">
        <f>TextodeCódigo3</f>
        <v>faltou a aula</v>
      </c>
      <c r="P3" s="31" t="str">
        <f>Código4</f>
        <v>P</v>
      </c>
      <c r="Q3" s="33" t="str">
        <f>TextodeCódigo4</f>
        <v>Presente</v>
      </c>
      <c r="T3" s="32" t="str">
        <f>Código5</f>
        <v>N</v>
      </c>
      <c r="U3" s="33" t="str">
        <f>TextodeCódigo5</f>
        <v>Sem Aula</v>
      </c>
      <c r="W3"/>
      <c r="X3"/>
      <c r="Y3"/>
      <c r="AD3" s="16"/>
      <c r="AE3" s="16"/>
      <c r="AH3" s="18"/>
      <c r="AI3" s="19"/>
      <c r="AK3" s="20"/>
    </row>
    <row r="4" spans="1:40" customFormat="1" ht="16.5" customHeight="1" x14ac:dyDescent="0.25"/>
    <row r="5" spans="1:40" s="2" customFormat="1" ht="18" customHeight="1" thickBot="1" x14ac:dyDescent="0.35">
      <c r="B5" s="79">
        <f>DATE(AnoCalendário,12,1)</f>
        <v>42705</v>
      </c>
      <c r="C5" s="80"/>
      <c r="D5" s="81" t="str">
        <f>TEXT(WEEKDAY(DATE(AnoCalendário,12,1),1),"ddd")</f>
        <v>qui</v>
      </c>
      <c r="E5" s="81" t="str">
        <f>TEXT(WEEKDAY(DATE(AnoCalendário,12,2),1),"ddd")</f>
        <v>sex</v>
      </c>
      <c r="F5" s="81" t="str">
        <f>TEXT(WEEKDAY(DATE(AnoCalendário,12,3),1),"ddd")</f>
        <v>sáb</v>
      </c>
      <c r="G5" s="81" t="str">
        <f>TEXT(WEEKDAY(DATE(AnoCalendário,12,4),1),"ddd")</f>
        <v>dom</v>
      </c>
      <c r="H5" s="81" t="str">
        <f>TEXT(WEEKDAY(DATE(AnoCalendário,12,5),1),"ddd")</f>
        <v>seg</v>
      </c>
      <c r="I5" s="81" t="str">
        <f>TEXT(WEEKDAY(DATE(AnoCalendário,12,6),1),"ddd")</f>
        <v>ter</v>
      </c>
      <c r="J5" s="81" t="str">
        <f>TEXT(WEEKDAY(DATE(AnoCalendário,12,7),1),"ddd")</f>
        <v>qua</v>
      </c>
      <c r="K5" s="81" t="str">
        <f>TEXT(WEEKDAY(DATE(AnoCalendário,12,8),1),"ddd")</f>
        <v>qui</v>
      </c>
      <c r="L5" s="81" t="str">
        <f>TEXT(WEEKDAY(DATE(AnoCalendário,12,9),1),"ddd")</f>
        <v>sex</v>
      </c>
      <c r="M5" s="81" t="str">
        <f>TEXT(WEEKDAY(DATE(AnoCalendário,12,10),1),"ddd")</f>
        <v>sáb</v>
      </c>
      <c r="N5" s="81" t="str">
        <f>TEXT(WEEKDAY(DATE(AnoCalendário,12,11),1),"ddd")</f>
        <v>dom</v>
      </c>
      <c r="O5" s="81" t="str">
        <f>TEXT(WEEKDAY(DATE(AnoCalendário,12,12),1),"ddd")</f>
        <v>seg</v>
      </c>
      <c r="P5" s="81" t="str">
        <f>TEXT(WEEKDAY(DATE(AnoCalendário,12,13),1),"ddd")</f>
        <v>ter</v>
      </c>
      <c r="Q5" s="81" t="str">
        <f>TEXT(WEEKDAY(DATE(AnoCalendário,12,14),1),"ddd")</f>
        <v>qua</v>
      </c>
      <c r="R5" s="81" t="str">
        <f>TEXT(WEEKDAY(DATE(AnoCalendário,12,15),1),"ddd")</f>
        <v>qui</v>
      </c>
      <c r="S5" s="81" t="str">
        <f>TEXT(WEEKDAY(DATE(AnoCalendário,12,16),1),"ddd")</f>
        <v>sex</v>
      </c>
      <c r="T5" s="81" t="str">
        <f>TEXT(WEEKDAY(DATE(AnoCalendário,12,17),1),"ddd")</f>
        <v>sáb</v>
      </c>
      <c r="U5" s="81" t="str">
        <f>TEXT(WEEKDAY(DATE(AnoCalendário,12,18),1),"ddd")</f>
        <v>dom</v>
      </c>
      <c r="V5" s="81" t="str">
        <f>TEXT(WEEKDAY(DATE(AnoCalendário,12,19),1),"ddd")</f>
        <v>seg</v>
      </c>
      <c r="W5" s="81" t="str">
        <f>TEXT(WEEKDAY(DATE(AnoCalendário,12,20),1),"ddd")</f>
        <v>ter</v>
      </c>
      <c r="X5" s="81" t="str">
        <f>TEXT(WEEKDAY(DATE(AnoCalendário,12,21),1),"ddd")</f>
        <v>qua</v>
      </c>
      <c r="Y5" s="81" t="str">
        <f>TEXT(WEEKDAY(DATE(AnoCalendário,12,22),1),"ddd")</f>
        <v>qui</v>
      </c>
      <c r="Z5" s="81" t="str">
        <f>TEXT(WEEKDAY(DATE(AnoCalendário,12,23),1),"ddd")</f>
        <v>sex</v>
      </c>
      <c r="AA5" s="81" t="str">
        <f>TEXT(WEEKDAY(DATE(AnoCalendário,12,24),1),"ddd")</f>
        <v>sáb</v>
      </c>
      <c r="AB5" s="81" t="str">
        <f>TEXT(WEEKDAY(DATE(AnoCalendário,12,25),1),"ddd")</f>
        <v>dom</v>
      </c>
      <c r="AC5" s="81" t="str">
        <f>TEXT(WEEKDAY(DATE(AnoCalendário,12,26),1),"ddd")</f>
        <v>seg</v>
      </c>
      <c r="AD5" s="81" t="str">
        <f>TEXT(WEEKDAY(DATE(AnoCalendário,12,27),1),"ddd")</f>
        <v>ter</v>
      </c>
      <c r="AE5" s="81" t="str">
        <f>TEXT(WEEKDAY(DATE(AnoCalendário,12,28),1),"ddd")</f>
        <v>qua</v>
      </c>
      <c r="AF5" s="81" t="str">
        <f>TEXT(WEEKDAY(DATE(AnoCalendário,12,29),1),"ddd")</f>
        <v>qui</v>
      </c>
      <c r="AG5" s="81" t="str">
        <f>TEXT(WEEKDAY(DATE(AnoCalendário,12,30),1),"ddd")</f>
        <v>sex</v>
      </c>
      <c r="AH5" s="81" t="str">
        <f>TEXT(WEEKDAY(DATE(AnoCalendário,12,31),1),"ddd")</f>
        <v>sáb</v>
      </c>
      <c r="AI5" s="108" t="s">
        <v>41</v>
      </c>
      <c r="AJ5" s="108"/>
      <c r="AK5" s="108"/>
      <c r="AL5" s="108"/>
      <c r="AM5" s="108"/>
    </row>
    <row r="6" spans="1:40" s="4" customFormat="1" ht="14.25" customHeight="1" thickTop="1" thickBot="1" x14ac:dyDescent="0.3">
      <c r="B6" s="82" t="s">
        <v>34</v>
      </c>
      <c r="C6" s="83" t="s">
        <v>36</v>
      </c>
      <c r="D6" s="84" t="s">
        <v>0</v>
      </c>
      <c r="E6" s="84" t="s">
        <v>1</v>
      </c>
      <c r="F6" s="84" t="s">
        <v>2</v>
      </c>
      <c r="G6" s="84" t="s">
        <v>3</v>
      </c>
      <c r="H6" s="84" t="s">
        <v>4</v>
      </c>
      <c r="I6" s="84" t="s">
        <v>5</v>
      </c>
      <c r="J6" s="84" t="s">
        <v>6</v>
      </c>
      <c r="K6" s="84" t="s">
        <v>7</v>
      </c>
      <c r="L6" s="84" t="s">
        <v>8</v>
      </c>
      <c r="M6" s="84" t="s">
        <v>9</v>
      </c>
      <c r="N6" s="84" t="s">
        <v>10</v>
      </c>
      <c r="O6" s="84" t="s">
        <v>11</v>
      </c>
      <c r="P6" s="84" t="s">
        <v>12</v>
      </c>
      <c r="Q6" s="84" t="s">
        <v>13</v>
      </c>
      <c r="R6" s="84" t="s">
        <v>14</v>
      </c>
      <c r="S6" s="84" t="s">
        <v>15</v>
      </c>
      <c r="T6" s="84" t="s">
        <v>16</v>
      </c>
      <c r="U6" s="84" t="s">
        <v>17</v>
      </c>
      <c r="V6" s="84" t="s">
        <v>18</v>
      </c>
      <c r="W6" s="84" t="s">
        <v>19</v>
      </c>
      <c r="X6" s="84" t="s">
        <v>20</v>
      </c>
      <c r="Y6" s="84" t="s">
        <v>21</v>
      </c>
      <c r="Z6" s="84" t="s">
        <v>22</v>
      </c>
      <c r="AA6" s="84" t="s">
        <v>23</v>
      </c>
      <c r="AB6" s="84" t="s">
        <v>24</v>
      </c>
      <c r="AC6" s="84" t="s">
        <v>25</v>
      </c>
      <c r="AD6" s="84" t="s">
        <v>26</v>
      </c>
      <c r="AE6" s="84" t="s">
        <v>27</v>
      </c>
      <c r="AF6" s="84" t="s">
        <v>28</v>
      </c>
      <c r="AG6" s="84" t="s">
        <v>29</v>
      </c>
      <c r="AH6" s="84" t="s">
        <v>30</v>
      </c>
      <c r="AI6" s="85" t="s">
        <v>37</v>
      </c>
      <c r="AJ6" s="86" t="s">
        <v>39</v>
      </c>
      <c r="AK6" s="87" t="s">
        <v>38</v>
      </c>
      <c r="AL6" s="88" t="s">
        <v>31</v>
      </c>
      <c r="AM6" s="89" t="s">
        <v>40</v>
      </c>
      <c r="AN6" s="3"/>
    </row>
    <row r="7" spans="1:40" s="4" customFormat="1" ht="16.5" customHeight="1" thickTop="1" thickBot="1" x14ac:dyDescent="0.3">
      <c r="B7" s="90"/>
      <c r="C7" s="102" t="str">
        <f>IFERROR(VLOOKUP(PresençaemDezembro[[#This Row],[ID do Aluno]],ListadeAlunos[],18,FALSE),"")</f>
        <v/>
      </c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9"/>
      <c r="AG7" s="92"/>
      <c r="AH7" s="92"/>
      <c r="AI7" s="93">
        <f>COUNTIF(PresençaemDezembro[[#This Row],[1]:[31]],Código1)</f>
        <v>0</v>
      </c>
      <c r="AJ7" s="94">
        <f>COUNTIF(PresençaemDezembro[[#This Row],[1]:[31]],Código2)</f>
        <v>0</v>
      </c>
      <c r="AK7" s="94">
        <f>COUNTIF(PresençaemDezembro[[#This Row],[1]:[31]],Código3)</f>
        <v>0</v>
      </c>
      <c r="AL7" s="94">
        <f>COUNTIF(PresençaemDezembro[[#This Row],[1]:[31]],Código4)</f>
        <v>0</v>
      </c>
      <c r="AM7" s="93">
        <f>SUM(PresençaemDezembro[[#This Row],[E]:[U]])</f>
        <v>0</v>
      </c>
      <c r="AN7" s="3"/>
    </row>
    <row r="8" spans="1:40" s="4" customFormat="1" ht="16.5" customHeight="1" thickTop="1" thickBot="1" x14ac:dyDescent="0.3">
      <c r="B8" s="90"/>
      <c r="C8" s="103" t="str">
        <f>IFERROR(VLOOKUP(PresençaemDezembro[[#This Row],[ID do Aluno]],ListadeAlunos[],18,FALSE),"")</f>
        <v/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9"/>
      <c r="AG8" s="92"/>
      <c r="AH8" s="92"/>
      <c r="AI8" s="93">
        <f>COUNTIF(PresençaemDezembro[[#This Row],[1]:[31]],Código1)</f>
        <v>0</v>
      </c>
      <c r="AJ8" s="94">
        <f>COUNTIF(PresençaemDezembro[[#This Row],[1]:[31]],Código2)</f>
        <v>0</v>
      </c>
      <c r="AK8" s="94">
        <f>COUNTIF(PresençaemDezembro[[#This Row],[1]:[31]],Código3)</f>
        <v>0</v>
      </c>
      <c r="AL8" s="94">
        <f>COUNTIF(PresençaemDezembro[[#This Row],[1]:[31]],Código4)</f>
        <v>0</v>
      </c>
      <c r="AM8" s="93">
        <f>SUM(PresençaemDezembro[[#This Row],[E]:[U]])</f>
        <v>0</v>
      </c>
      <c r="AN8" s="3"/>
    </row>
    <row r="9" spans="1:40" s="1" customFormat="1" ht="16.5" customHeight="1" thickTop="1" thickBot="1" x14ac:dyDescent="0.3">
      <c r="B9" s="90"/>
      <c r="C9" s="103" t="str">
        <f>IFERROR(VLOOKUP(PresençaemDezembro[[#This Row],[ID do Aluno]],ListadeAlunos[],18,FALSE),"")</f>
        <v/>
      </c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9"/>
      <c r="AG9" s="92"/>
      <c r="AH9" s="92"/>
      <c r="AI9" s="93">
        <f>COUNTIF(PresençaemDezembro[[#This Row],[1]:[31]],Código1)</f>
        <v>0</v>
      </c>
      <c r="AJ9" s="94">
        <f>COUNTIF(PresençaemDezembro[[#This Row],[1]:[31]],Código2)</f>
        <v>0</v>
      </c>
      <c r="AK9" s="94">
        <f>COUNTIF(PresençaemDezembro[[#This Row],[1]:[31]],Código3)</f>
        <v>0</v>
      </c>
      <c r="AL9" s="94">
        <f>COUNTIF(PresençaemDezembro[[#This Row],[1]:[31]],Código4)</f>
        <v>0</v>
      </c>
      <c r="AM9" s="93">
        <f>SUM(PresençaemDezembro[[#This Row],[E]:[U]])</f>
        <v>0</v>
      </c>
      <c r="AN9" s="5"/>
    </row>
    <row r="10" spans="1:40" ht="16.5" customHeight="1" thickTop="1" thickBot="1" x14ac:dyDescent="0.3">
      <c r="B10" s="90"/>
      <c r="C10" s="103" t="str">
        <f>IFERROR(VLOOKUP(PresençaemDezembro[[#This Row],[ID do Aluno]],ListadeAlunos[],18,FALSE),"")</f>
        <v/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9"/>
      <c r="AG10" s="92"/>
      <c r="AH10" s="92"/>
      <c r="AI10" s="93">
        <f>COUNTIF(PresençaemDezembro[[#This Row],[1]:[31]],Código1)</f>
        <v>0</v>
      </c>
      <c r="AJ10" s="94">
        <f>COUNTIF(PresençaemDezembro[[#This Row],[1]:[31]],Código2)</f>
        <v>0</v>
      </c>
      <c r="AK10" s="94">
        <f>COUNTIF(PresençaemDezembro[[#This Row],[1]:[31]],Código3)</f>
        <v>0</v>
      </c>
      <c r="AL10" s="94">
        <f>COUNTIF(PresençaemDezembro[[#This Row],[1]:[31]],Código4)</f>
        <v>0</v>
      </c>
      <c r="AM10" s="93">
        <f>SUM(PresençaemDezembro[[#This Row],[E]:[U]])</f>
        <v>0</v>
      </c>
      <c r="AN10" s="7"/>
    </row>
    <row r="11" spans="1:40" ht="16.5" customHeight="1" thickTop="1" thickBot="1" x14ac:dyDescent="0.3">
      <c r="B11" s="90"/>
      <c r="C11" s="103" t="str">
        <f>IFERROR(VLOOKUP(PresençaemDezembro[[#This Row],[ID do Aluno]],ListadeAlunos[],18,FALSE),"")</f>
        <v/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9"/>
      <c r="AG11" s="92"/>
      <c r="AH11" s="92"/>
      <c r="AI11" s="93">
        <f>COUNTIF(PresençaemDezembro[[#This Row],[1]:[31]],Código1)</f>
        <v>0</v>
      </c>
      <c r="AJ11" s="94">
        <f>COUNTIF(PresençaemDezembro[[#This Row],[1]:[31]],Código2)</f>
        <v>0</v>
      </c>
      <c r="AK11" s="94">
        <f>COUNTIF(PresençaemDezembro[[#This Row],[1]:[31]],Código3)</f>
        <v>0</v>
      </c>
      <c r="AL11" s="94">
        <f>COUNTIF(PresençaemDezembro[[#This Row],[1]:[31]],Código4)</f>
        <v>0</v>
      </c>
      <c r="AM11" s="93">
        <f>SUM(PresençaemDezembro[[#This Row],[E]:[U]])</f>
        <v>0</v>
      </c>
      <c r="AN11" s="7"/>
    </row>
    <row r="12" spans="1:40" ht="16.5" customHeight="1" thickTop="1" thickBot="1" x14ac:dyDescent="0.3">
      <c r="B12" s="84"/>
      <c r="C12" s="89" t="s">
        <v>114</v>
      </c>
      <c r="D12" s="93">
        <f>COUNTIF(PresençaemDezembro[1],"U")+COUNTIF(PresençaemDezembro[1],"E")</f>
        <v>0</v>
      </c>
      <c r="E12" s="93">
        <f>COUNTIF(PresençaemDezembro[2],"U")+COUNTIF(PresençaemDezembro[2],"E")</f>
        <v>0</v>
      </c>
      <c r="F12" s="93">
        <f>COUNTIF(PresençaemDezembro[3],"U")+COUNTIF(PresençaemDezembro[3],"E")</f>
        <v>0</v>
      </c>
      <c r="G12" s="93">
        <f>COUNTIF(PresençaemDezembro[4],"U")+COUNTIF(PresençaemDezembro[4],"E")</f>
        <v>0</v>
      </c>
      <c r="H12" s="93">
        <f>COUNTIF(PresençaemDezembro[5],"U")+COUNTIF(PresençaemDezembro[5],"E")</f>
        <v>0</v>
      </c>
      <c r="I12" s="93">
        <f>COUNTIF(PresençaemDezembro[6],"U")+COUNTIF(PresençaemDezembro[6],"E")</f>
        <v>0</v>
      </c>
      <c r="J12" s="93">
        <f>COUNTIF(PresençaemDezembro[7],"U")+COUNTIF(PresençaemDezembro[7],"E")</f>
        <v>0</v>
      </c>
      <c r="K12" s="93">
        <f>COUNTIF(PresençaemDezembro[8],"U")+COUNTIF(PresençaemDezembro[8],"E")</f>
        <v>0</v>
      </c>
      <c r="L12" s="93">
        <f>COUNTIF(PresençaemDezembro[9],"U")+COUNTIF(PresençaemDezembro[9],"E")</f>
        <v>0</v>
      </c>
      <c r="M12" s="93">
        <f>COUNTIF(PresençaemDezembro[10],"U")+COUNTIF(PresençaemDezembro[10],"E")</f>
        <v>0</v>
      </c>
      <c r="N12" s="93">
        <f>COUNTIF(PresençaemDezembro[11],"U")+COUNTIF(PresençaemDezembro[11],"E")</f>
        <v>0</v>
      </c>
      <c r="O12" s="93">
        <f>COUNTIF(PresençaemDezembro[12],"U")+COUNTIF(PresençaemDezembro[12],"E")</f>
        <v>0</v>
      </c>
      <c r="P12" s="93">
        <f>COUNTIF(PresençaemDezembro[13],"U")+COUNTIF(PresençaemDezembro[13],"E")</f>
        <v>0</v>
      </c>
      <c r="Q12" s="93">
        <f>COUNTIF(PresençaemDezembro[14],"U")+COUNTIF(PresençaemDezembro[14],"E")</f>
        <v>0</v>
      </c>
      <c r="R12" s="93">
        <f>COUNTIF(PresençaemDezembro[15],"U")+COUNTIF(PresençaemDezembro[15],"E")</f>
        <v>0</v>
      </c>
      <c r="S12" s="93">
        <f>COUNTIF(PresençaemDezembro[16],"U")+COUNTIF(PresençaemDezembro[16],"E")</f>
        <v>0</v>
      </c>
      <c r="T12" s="93">
        <f>COUNTIF(PresençaemDezembro[17],"U")+COUNTIF(PresençaemDezembro[17],"E")</f>
        <v>0</v>
      </c>
      <c r="U12" s="93">
        <f>COUNTIF(PresençaemDezembro[18],"U")+COUNTIF(PresençaemDezembro[18],"E")</f>
        <v>0</v>
      </c>
      <c r="V12" s="93">
        <f>COUNTIF(PresençaemDezembro[19],"U")+COUNTIF(PresençaemDezembro[19],"E")</f>
        <v>0</v>
      </c>
      <c r="W12" s="93">
        <f>COUNTIF(PresençaemDezembro[20],"U")+COUNTIF(PresençaemDezembro[20],"E")</f>
        <v>0</v>
      </c>
      <c r="X12" s="93">
        <f>COUNTIF(PresençaemDezembro[21],"U")+COUNTIF(PresençaemDezembro[21],"E")</f>
        <v>0</v>
      </c>
      <c r="Y12" s="93">
        <f>COUNTIF(PresençaemDezembro[22],"U")+COUNTIF(PresençaemDezembro[22],"E")</f>
        <v>0</v>
      </c>
      <c r="Z12" s="93">
        <f>COUNTIF(PresençaemDezembro[23],"U")+COUNTIF(PresençaemDezembro[23],"E")</f>
        <v>0</v>
      </c>
      <c r="AA12" s="93">
        <f>COUNTIF(PresençaemDezembro[24],"U")+COUNTIF(PresençaemDezembro[24],"E")</f>
        <v>0</v>
      </c>
      <c r="AB12" s="93">
        <f>COUNTIF(PresençaemDezembro[25],"U")+COUNTIF(PresençaemDezembro[25],"E")</f>
        <v>0</v>
      </c>
      <c r="AC12" s="93">
        <f>COUNTIF(PresençaemDezembro[26],"U")+COUNTIF(PresençaemDezembro[26],"E")</f>
        <v>0</v>
      </c>
      <c r="AD12" s="93">
        <f>COUNTIF(PresençaemDezembro[27],"U")+COUNTIF(PresençaemDezembro[27],"E")</f>
        <v>0</v>
      </c>
      <c r="AE12" s="93">
        <f>COUNTIF(PresençaemDezembro[28],"U")+COUNTIF(PresençaemDezembro[28],"E")</f>
        <v>0</v>
      </c>
      <c r="AF12" s="93">
        <f>COUNTIF(PresençaemDezembro[29],"U")+COUNTIF(PresençaemDezembro[29],"E")</f>
        <v>0</v>
      </c>
      <c r="AG12" s="93">
        <f>COUNTIF(PresençaemDezembro[30],"U")+COUNTIF(PresençaemDezembro[30],"E")</f>
        <v>0</v>
      </c>
      <c r="AH12" s="93">
        <f>COUNTIF(PresençaemDezembro[31],"U")+COUNTIF(PresençaemDezembro[31],"E")</f>
        <v>0</v>
      </c>
      <c r="AI12" s="93">
        <f>SUBTOTAL(109,PresençaemDezembro[T])</f>
        <v>0</v>
      </c>
      <c r="AJ12" s="93">
        <f>SUBTOTAL(109,PresençaemDezembro[E])</f>
        <v>0</v>
      </c>
      <c r="AK12" s="93">
        <f>SUBTOTAL(109,PresençaemDezembro[U])</f>
        <v>0</v>
      </c>
      <c r="AL12" s="93">
        <f>SUBTOTAL(109,PresençaemDezembro[P])</f>
        <v>0</v>
      </c>
      <c r="AM12" s="93">
        <f>SUBTOTAL(109,PresençaemDezembro[Dias de Ausência])</f>
        <v>0</v>
      </c>
    </row>
    <row r="13" spans="1:40" ht="16.5" customHeight="1" thickTop="1" x14ac:dyDescent="0.25"/>
    <row r="14" spans="1:40" ht="16.5" customHeight="1" x14ac:dyDescent="0.25"/>
    <row r="15" spans="1:40" ht="16.5" customHeight="1" x14ac:dyDescent="0.25"/>
    <row r="16" spans="1:40" ht="16.5" customHeight="1" x14ac:dyDescent="0.25"/>
    <row r="17" ht="16.5" customHeight="1" x14ac:dyDescent="0.25"/>
    <row r="18" ht="16.5" customHeight="1" x14ac:dyDescent="0.25"/>
    <row r="19" ht="16.5" customHeight="1" x14ac:dyDescent="0.25"/>
    <row r="20" ht="16.5" customHeight="1" x14ac:dyDescent="0.25"/>
    <row r="21" ht="16.5" customHeight="1" x14ac:dyDescent="0.25"/>
    <row r="22" ht="16.5" customHeight="1" x14ac:dyDescent="0.25"/>
    <row r="23" ht="16.5" customHeight="1" x14ac:dyDescent="0.25"/>
    <row r="24" ht="16.5" customHeight="1" x14ac:dyDescent="0.25"/>
    <row r="25" ht="16.5" customHeight="1" x14ac:dyDescent="0.25"/>
    <row r="26" ht="16.5" customHeight="1" x14ac:dyDescent="0.25"/>
    <row r="27" ht="16.5" customHeight="1" x14ac:dyDescent="0.25"/>
    <row r="28" ht="16.5" customHeight="1" x14ac:dyDescent="0.25"/>
    <row r="29" ht="16.5" customHeight="1" x14ac:dyDescent="0.25"/>
    <row r="30" ht="16.5" customHeight="1" x14ac:dyDescent="0.25"/>
    <row r="31" ht="16.5" customHeight="1" x14ac:dyDescent="0.25"/>
    <row r="32" ht="16.5" customHeight="1" x14ac:dyDescent="0.25"/>
    <row r="33" ht="16.5" customHeight="1" x14ac:dyDescent="0.25"/>
    <row r="34" ht="16.5" customHeight="1" x14ac:dyDescent="0.25"/>
    <row r="35" ht="16.5" customHeight="1" x14ac:dyDescent="0.25"/>
    <row r="36" ht="16.5" customHeight="1" x14ac:dyDescent="0.25"/>
    <row r="37" ht="16.5" customHeight="1" x14ac:dyDescent="0.25"/>
    <row r="38" ht="16.5" customHeight="1" x14ac:dyDescent="0.25"/>
    <row r="39" ht="16.5" customHeight="1" x14ac:dyDescent="0.25"/>
    <row r="40" ht="16.5" customHeight="1" x14ac:dyDescent="0.25"/>
    <row r="41" ht="16.5" customHeight="1" x14ac:dyDescent="0.25"/>
    <row r="42" ht="16.5" customHeight="1" x14ac:dyDescent="0.25"/>
    <row r="43" ht="16.5" customHeight="1" x14ac:dyDescent="0.25"/>
    <row r="44" ht="16.5" customHeight="1" x14ac:dyDescent="0.25"/>
    <row r="45" ht="16.5" customHeight="1" x14ac:dyDescent="0.25"/>
    <row r="46" ht="16.5" customHeight="1" x14ac:dyDescent="0.25"/>
    <row r="47" ht="16.5" customHeight="1" x14ac:dyDescent="0.25"/>
    <row r="48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2" ht="16.5" customHeight="1" x14ac:dyDescent="0.25"/>
    <row r="63" ht="16.5" customHeight="1" x14ac:dyDescent="0.25"/>
    <row r="64" ht="16.5" customHeight="1" x14ac:dyDescent="0.25"/>
    <row r="65" ht="16.5" customHeight="1" x14ac:dyDescent="0.25"/>
    <row r="66" ht="16.5" customHeight="1" x14ac:dyDescent="0.25"/>
    <row r="67" ht="16.5" customHeight="1" x14ac:dyDescent="0.25"/>
    <row r="68" ht="16.5" customHeight="1" x14ac:dyDescent="0.25"/>
    <row r="69" ht="16.5" customHeight="1" x14ac:dyDescent="0.25"/>
    <row r="70" ht="16.5" customHeight="1" x14ac:dyDescent="0.25"/>
    <row r="71" ht="16.5" customHeight="1" x14ac:dyDescent="0.25"/>
    <row r="72" ht="16.5" customHeight="1" x14ac:dyDescent="0.25"/>
    <row r="73" ht="16.5" customHeight="1" x14ac:dyDescent="0.25"/>
    <row r="74" ht="16.5" customHeight="1" x14ac:dyDescent="0.25"/>
    <row r="75" ht="16.5" customHeight="1" x14ac:dyDescent="0.25"/>
    <row r="76" ht="16.5" customHeight="1" x14ac:dyDescent="0.25"/>
    <row r="77" ht="16.5" customHeight="1" x14ac:dyDescent="0.25"/>
    <row r="78" ht="16.5" customHeight="1" x14ac:dyDescent="0.25"/>
    <row r="79" ht="16.5" customHeight="1" x14ac:dyDescent="0.25"/>
    <row r="80" ht="16.5" customHeight="1" x14ac:dyDescent="0.25"/>
    <row r="81" ht="16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  <row r="87" ht="16.5" customHeight="1" x14ac:dyDescent="0.25"/>
    <row r="88" ht="16.5" customHeight="1" x14ac:dyDescent="0.25"/>
    <row r="89" ht="16.5" customHeight="1" x14ac:dyDescent="0.25"/>
    <row r="90" ht="16.5" customHeight="1" x14ac:dyDescent="0.25"/>
    <row r="91" ht="16.5" customHeight="1" x14ac:dyDescent="0.25"/>
    <row r="92" ht="16.5" customHeight="1" x14ac:dyDescent="0.25"/>
    <row r="93" ht="16.5" customHeight="1" x14ac:dyDescent="0.25"/>
    <row r="94" ht="16.5" customHeight="1" x14ac:dyDescent="0.25"/>
    <row r="95" ht="16.5" customHeight="1" x14ac:dyDescent="0.25"/>
    <row r="96" ht="16.5" customHeight="1" x14ac:dyDescent="0.25"/>
    <row r="97" ht="16.5" customHeight="1" x14ac:dyDescent="0.25"/>
    <row r="98" ht="16.5" customHeight="1" x14ac:dyDescent="0.25"/>
    <row r="99" ht="16.5" customHeight="1" x14ac:dyDescent="0.25"/>
    <row r="100" ht="16.5" customHeight="1" x14ac:dyDescent="0.25"/>
    <row r="101" ht="16.5" customHeight="1" x14ac:dyDescent="0.25"/>
    <row r="102" ht="16.5" customHeight="1" x14ac:dyDescent="0.25"/>
    <row r="103" ht="16.5" customHeight="1" x14ac:dyDescent="0.25"/>
    <row r="104" ht="16.5" customHeight="1" x14ac:dyDescent="0.25"/>
    <row r="105" ht="16.5" customHeight="1" x14ac:dyDescent="0.25"/>
    <row r="106" ht="16.5" customHeight="1" x14ac:dyDescent="0.25"/>
    <row r="107" ht="16.5" customHeight="1" x14ac:dyDescent="0.25"/>
    <row r="108" ht="16.5" customHeight="1" x14ac:dyDescent="0.25"/>
    <row r="109" ht="16.5" customHeight="1" x14ac:dyDescent="0.25"/>
    <row r="110" ht="16.5" customHeight="1" x14ac:dyDescent="0.25"/>
    <row r="111" ht="16.5" customHeight="1" x14ac:dyDescent="0.25"/>
    <row r="112" ht="16.5" customHeight="1" x14ac:dyDescent="0.25"/>
    <row r="113" ht="16.5" customHeight="1" x14ac:dyDescent="0.25"/>
    <row r="114" ht="16.5" customHeight="1" x14ac:dyDescent="0.25"/>
    <row r="115" ht="16.5" customHeight="1" x14ac:dyDescent="0.25"/>
    <row r="116" ht="16.5" customHeight="1" x14ac:dyDescent="0.25"/>
    <row r="117" ht="16.5" customHeight="1" x14ac:dyDescent="0.25"/>
    <row r="118" ht="16.5" customHeight="1" x14ac:dyDescent="0.25"/>
    <row r="119" ht="16.5" customHeight="1" x14ac:dyDescent="0.25"/>
    <row r="120" ht="16.5" customHeight="1" x14ac:dyDescent="0.25"/>
    <row r="121" ht="16.5" customHeight="1" x14ac:dyDescent="0.25"/>
    <row r="122" ht="16.5" customHeight="1" x14ac:dyDescent="0.25"/>
    <row r="123" ht="16.5" customHeight="1" x14ac:dyDescent="0.25"/>
    <row r="124" ht="16.5" customHeight="1" x14ac:dyDescent="0.25"/>
    <row r="125" ht="16.5" customHeight="1" x14ac:dyDescent="0.25"/>
    <row r="126" ht="16.5" customHeight="1" x14ac:dyDescent="0.25"/>
    <row r="127" ht="16.5" customHeight="1" x14ac:dyDescent="0.25"/>
    <row r="128" ht="16.5" customHeight="1" x14ac:dyDescent="0.25"/>
    <row r="129" ht="16.5" customHeight="1" x14ac:dyDescent="0.25"/>
    <row r="130" ht="16.5" customHeight="1" x14ac:dyDescent="0.25"/>
    <row r="131" ht="16.5" customHeight="1" x14ac:dyDescent="0.25"/>
    <row r="132" ht="16.5" customHeight="1" x14ac:dyDescent="0.25"/>
    <row r="133" ht="16.5" customHeight="1" x14ac:dyDescent="0.25"/>
    <row r="134" ht="16.5" customHeight="1" x14ac:dyDescent="0.25"/>
    <row r="135" ht="16.5" customHeight="1" x14ac:dyDescent="0.25"/>
    <row r="136" ht="16.5" customHeight="1" x14ac:dyDescent="0.25"/>
    <row r="137" ht="16.5" customHeight="1" x14ac:dyDescent="0.25"/>
    <row r="138" ht="16.5" customHeight="1" x14ac:dyDescent="0.25"/>
    <row r="139" ht="16.5" customHeight="1" x14ac:dyDescent="0.25"/>
    <row r="140" ht="16.5" customHeight="1" x14ac:dyDescent="0.25"/>
    <row r="141" ht="16.5" customHeight="1" x14ac:dyDescent="0.25"/>
    <row r="142" ht="16.5" customHeight="1" x14ac:dyDescent="0.25"/>
    <row r="143" ht="16.5" customHeight="1" x14ac:dyDescent="0.25"/>
    <row r="144" ht="16.5" customHeight="1" x14ac:dyDescent="0.25"/>
    <row r="145" ht="16.5" customHeight="1" x14ac:dyDescent="0.25"/>
    <row r="146" ht="16.5" customHeight="1" x14ac:dyDescent="0.25"/>
    <row r="147" ht="16.5" customHeight="1" x14ac:dyDescent="0.25"/>
    <row r="148" ht="16.5" customHeight="1" x14ac:dyDescent="0.25"/>
    <row r="149" ht="16.5" customHeight="1" x14ac:dyDescent="0.25"/>
    <row r="150" ht="16.5" customHeight="1" x14ac:dyDescent="0.25"/>
    <row r="151" ht="16.5" customHeight="1" x14ac:dyDescent="0.25"/>
    <row r="152" ht="16.5" customHeight="1" x14ac:dyDescent="0.25"/>
    <row r="153" ht="16.5" customHeight="1" x14ac:dyDescent="0.25"/>
    <row r="154" ht="16.5" customHeight="1" x14ac:dyDescent="0.25"/>
    <row r="155" ht="16.5" customHeight="1" x14ac:dyDescent="0.25"/>
    <row r="156" ht="16.5" customHeight="1" x14ac:dyDescent="0.25"/>
    <row r="157" ht="16.5" customHeight="1" x14ac:dyDescent="0.25"/>
    <row r="158" ht="16.5" customHeight="1" x14ac:dyDescent="0.25"/>
    <row r="159" ht="16.5" customHeight="1" x14ac:dyDescent="0.25"/>
    <row r="160" ht="16.5" customHeight="1" x14ac:dyDescent="0.25"/>
    <row r="161" ht="16.5" customHeight="1" x14ac:dyDescent="0.25"/>
    <row r="162" ht="16.5" customHeight="1" x14ac:dyDescent="0.25"/>
    <row r="163" ht="16.5" customHeight="1" x14ac:dyDescent="0.25"/>
    <row r="164" ht="16.5" customHeight="1" x14ac:dyDescent="0.25"/>
    <row r="165" ht="16.5" customHeight="1" x14ac:dyDescent="0.25"/>
    <row r="166" ht="16.5" customHeight="1" x14ac:dyDescent="0.25"/>
    <row r="167" ht="16.5" customHeight="1" x14ac:dyDescent="0.25"/>
    <row r="168" ht="16.5" customHeight="1" x14ac:dyDescent="0.25"/>
    <row r="169" ht="16.5" customHeight="1" x14ac:dyDescent="0.25"/>
    <row r="170" ht="16.5" customHeight="1" x14ac:dyDescent="0.25"/>
    <row r="171" ht="16.5" customHeight="1" x14ac:dyDescent="0.25"/>
    <row r="172" ht="16.5" customHeight="1" x14ac:dyDescent="0.25"/>
    <row r="173" ht="16.5" customHeight="1" x14ac:dyDescent="0.25"/>
    <row r="174" ht="16.5" customHeight="1" x14ac:dyDescent="0.25"/>
    <row r="175" ht="16.5" customHeight="1" x14ac:dyDescent="0.25"/>
    <row r="176" ht="16.5" customHeight="1" x14ac:dyDescent="0.25"/>
    <row r="177" ht="16.5" customHeight="1" x14ac:dyDescent="0.25"/>
    <row r="178" ht="16.5" customHeight="1" x14ac:dyDescent="0.25"/>
    <row r="179" ht="16.5" customHeight="1" x14ac:dyDescent="0.25"/>
    <row r="180" ht="16.5" customHeight="1" x14ac:dyDescent="0.25"/>
    <row r="181" ht="16.5" customHeight="1" x14ac:dyDescent="0.25"/>
    <row r="182" ht="16.5" customHeight="1" x14ac:dyDescent="0.25"/>
    <row r="183" ht="16.5" customHeight="1" x14ac:dyDescent="0.25"/>
    <row r="184" ht="16.5" customHeight="1" x14ac:dyDescent="0.25"/>
    <row r="185" ht="16.5" customHeight="1" x14ac:dyDescent="0.25"/>
    <row r="186" ht="16.5" customHeight="1" x14ac:dyDescent="0.25"/>
    <row r="187" ht="16.5" customHeight="1" x14ac:dyDescent="0.25"/>
    <row r="188" ht="16.5" customHeight="1" x14ac:dyDescent="0.25"/>
    <row r="189" ht="16.5" customHeight="1" x14ac:dyDescent="0.25"/>
    <row r="190" ht="16.5" customHeight="1" x14ac:dyDescent="0.25"/>
    <row r="191" ht="16.5" customHeight="1" x14ac:dyDescent="0.25"/>
    <row r="192" ht="16.5" customHeight="1" x14ac:dyDescent="0.25"/>
    <row r="193" ht="16.5" customHeight="1" x14ac:dyDescent="0.25"/>
    <row r="194" ht="16.5" customHeight="1" x14ac:dyDescent="0.25"/>
    <row r="195" ht="16.5" customHeight="1" x14ac:dyDescent="0.25"/>
    <row r="196" ht="16.5" customHeight="1" x14ac:dyDescent="0.25"/>
    <row r="197" ht="16.5" customHeight="1" x14ac:dyDescent="0.25"/>
    <row r="198" ht="16.5" customHeight="1" x14ac:dyDescent="0.25"/>
    <row r="199" ht="16.5" customHeight="1" x14ac:dyDescent="0.25"/>
    <row r="200" ht="16.5" customHeight="1" x14ac:dyDescent="0.25"/>
    <row r="201" ht="16.5" customHeight="1" x14ac:dyDescent="0.25"/>
    <row r="202" ht="16.5" customHeight="1" x14ac:dyDescent="0.25"/>
    <row r="203" ht="16.5" customHeight="1" x14ac:dyDescent="0.25"/>
    <row r="204" ht="16.5" customHeight="1" x14ac:dyDescent="0.25"/>
    <row r="205" ht="16.5" customHeight="1" x14ac:dyDescent="0.25"/>
    <row r="206" ht="16.5" customHeight="1" x14ac:dyDescent="0.25"/>
    <row r="207" ht="16.5" customHeight="1" x14ac:dyDescent="0.25"/>
    <row r="208" ht="16.5" customHeight="1" x14ac:dyDescent="0.25"/>
    <row r="209" ht="16.5" customHeight="1" x14ac:dyDescent="0.25"/>
    <row r="210" ht="16.5" customHeight="1" x14ac:dyDescent="0.25"/>
    <row r="211" ht="16.5" customHeight="1" x14ac:dyDescent="0.25"/>
    <row r="212" ht="16.5" customHeight="1" x14ac:dyDescent="0.25"/>
    <row r="213" ht="16.5" customHeight="1" x14ac:dyDescent="0.25"/>
    <row r="214" ht="16.5" customHeight="1" x14ac:dyDescent="0.25"/>
    <row r="215" ht="16.5" customHeight="1" x14ac:dyDescent="0.25"/>
    <row r="216" ht="16.5" customHeight="1" x14ac:dyDescent="0.25"/>
    <row r="217" ht="16.5" customHeight="1" x14ac:dyDescent="0.25"/>
    <row r="218" ht="16.5" customHeight="1" x14ac:dyDescent="0.25"/>
    <row r="219" ht="16.5" customHeight="1" x14ac:dyDescent="0.25"/>
    <row r="220" ht="16.5" customHeight="1" x14ac:dyDescent="0.25"/>
    <row r="221" ht="16.5" customHeight="1" x14ac:dyDescent="0.25"/>
    <row r="222" ht="16.5" customHeight="1" x14ac:dyDescent="0.25"/>
    <row r="223" ht="16.5" customHeight="1" x14ac:dyDescent="0.25"/>
    <row r="224" ht="16.5" customHeight="1" x14ac:dyDescent="0.25"/>
    <row r="225" ht="16.5" customHeight="1" x14ac:dyDescent="0.25"/>
    <row r="226" ht="16.5" customHeight="1" x14ac:dyDescent="0.25"/>
    <row r="227" ht="16.5" customHeight="1" x14ac:dyDescent="0.25"/>
    <row r="228" ht="16.5" customHeight="1" x14ac:dyDescent="0.25"/>
    <row r="229" ht="16.5" customHeight="1" x14ac:dyDescent="0.25"/>
    <row r="230" ht="16.5" customHeight="1" x14ac:dyDescent="0.25"/>
    <row r="231" ht="16.5" customHeight="1" x14ac:dyDescent="0.25"/>
    <row r="232" ht="16.5" customHeight="1" x14ac:dyDescent="0.25"/>
    <row r="233" ht="16.5" customHeight="1" x14ac:dyDescent="0.25"/>
    <row r="234" ht="16.5" customHeight="1" x14ac:dyDescent="0.25"/>
    <row r="235" ht="16.5" customHeight="1" x14ac:dyDescent="0.25"/>
    <row r="236" ht="16.5" customHeight="1" x14ac:dyDescent="0.25"/>
    <row r="237" ht="16.5" customHeight="1" x14ac:dyDescent="0.25"/>
    <row r="238" ht="16.5" customHeight="1" x14ac:dyDescent="0.25"/>
    <row r="239" ht="16.5" customHeight="1" x14ac:dyDescent="0.25"/>
    <row r="240" ht="16.5" customHeight="1" x14ac:dyDescent="0.25"/>
    <row r="241" ht="16.5" customHeight="1" x14ac:dyDescent="0.25"/>
    <row r="242" ht="16.5" customHeight="1" x14ac:dyDescent="0.25"/>
    <row r="243" ht="16.5" customHeight="1" x14ac:dyDescent="0.25"/>
    <row r="244" ht="16.5" customHeight="1" x14ac:dyDescent="0.25"/>
    <row r="245" ht="16.5" customHeight="1" x14ac:dyDescent="0.25"/>
    <row r="246" ht="16.5" customHeight="1" x14ac:dyDescent="0.25"/>
    <row r="247" ht="16.5" customHeight="1" x14ac:dyDescent="0.25"/>
    <row r="248" ht="16.5" customHeight="1" x14ac:dyDescent="0.25"/>
    <row r="249" ht="16.5" customHeight="1" x14ac:dyDescent="0.25"/>
    <row r="250" ht="16.5" customHeight="1" x14ac:dyDescent="0.25"/>
    <row r="251" ht="16.5" customHeight="1" x14ac:dyDescent="0.25"/>
    <row r="252" ht="16.5" customHeight="1" x14ac:dyDescent="0.25"/>
    <row r="253" ht="16.5" customHeight="1" x14ac:dyDescent="0.25"/>
    <row r="254" ht="16.5" customHeight="1" x14ac:dyDescent="0.25"/>
    <row r="255" ht="16.5" customHeight="1" x14ac:dyDescent="0.25"/>
    <row r="256" ht="16.5" customHeight="1" x14ac:dyDescent="0.25"/>
    <row r="257" ht="16.5" customHeight="1" x14ac:dyDescent="0.25"/>
    <row r="258" ht="16.5" customHeight="1" x14ac:dyDescent="0.25"/>
    <row r="259" ht="16.5" customHeight="1" x14ac:dyDescent="0.25"/>
    <row r="260" ht="16.5" customHeight="1" x14ac:dyDescent="0.25"/>
    <row r="261" ht="16.5" customHeight="1" x14ac:dyDescent="0.25"/>
    <row r="262" ht="16.5" customHeight="1" x14ac:dyDescent="0.25"/>
    <row r="263" ht="16.5" customHeight="1" x14ac:dyDescent="0.25"/>
    <row r="264" ht="16.5" customHeight="1" x14ac:dyDescent="0.25"/>
    <row r="265" ht="16.5" customHeight="1" x14ac:dyDescent="0.25"/>
    <row r="266" ht="16.5" customHeight="1" x14ac:dyDescent="0.25"/>
    <row r="267" ht="16.5" customHeight="1" x14ac:dyDescent="0.25"/>
    <row r="268" ht="16.5" customHeight="1" x14ac:dyDescent="0.25"/>
    <row r="269" ht="16.5" customHeight="1" x14ac:dyDescent="0.25"/>
    <row r="270" ht="16.5" customHeight="1" x14ac:dyDescent="0.25"/>
    <row r="271" ht="16.5" customHeight="1" x14ac:dyDescent="0.25"/>
    <row r="272" ht="16.5" customHeight="1" x14ac:dyDescent="0.25"/>
    <row r="273" ht="16.5" customHeight="1" x14ac:dyDescent="0.25"/>
    <row r="274" ht="16.5" customHeight="1" x14ac:dyDescent="0.25"/>
    <row r="275" ht="16.5" customHeight="1" x14ac:dyDescent="0.25"/>
    <row r="276" ht="16.5" customHeight="1" x14ac:dyDescent="0.25"/>
    <row r="277" ht="16.5" customHeight="1" x14ac:dyDescent="0.25"/>
    <row r="278" ht="16.5" customHeight="1" x14ac:dyDescent="0.25"/>
    <row r="279" ht="16.5" customHeight="1" x14ac:dyDescent="0.25"/>
    <row r="280" ht="16.5" customHeight="1" x14ac:dyDescent="0.25"/>
    <row r="281" ht="16.5" customHeight="1" x14ac:dyDescent="0.25"/>
    <row r="282" ht="16.5" customHeight="1" x14ac:dyDescent="0.25"/>
    <row r="283" ht="16.5" customHeight="1" x14ac:dyDescent="0.25"/>
    <row r="284" ht="16.5" customHeight="1" x14ac:dyDescent="0.25"/>
    <row r="285" ht="16.5" customHeight="1" x14ac:dyDescent="0.25"/>
    <row r="286" ht="16.5" customHeight="1" x14ac:dyDescent="0.25"/>
    <row r="287" ht="16.5" customHeight="1" x14ac:dyDescent="0.25"/>
    <row r="288" ht="16.5" customHeight="1" x14ac:dyDescent="0.25"/>
    <row r="289" ht="16.5" customHeight="1" x14ac:dyDescent="0.25"/>
    <row r="290" ht="16.5" customHeight="1" x14ac:dyDescent="0.25"/>
    <row r="291" ht="16.5" customHeight="1" x14ac:dyDescent="0.25"/>
    <row r="292" ht="16.5" customHeight="1" x14ac:dyDescent="0.25"/>
    <row r="293" ht="16.5" customHeight="1" x14ac:dyDescent="0.25"/>
    <row r="294" ht="16.5" customHeight="1" x14ac:dyDescent="0.25"/>
    <row r="295" ht="16.5" customHeight="1" x14ac:dyDescent="0.25"/>
    <row r="296" ht="16.5" customHeight="1" x14ac:dyDescent="0.25"/>
    <row r="297" ht="16.5" customHeight="1" x14ac:dyDescent="0.25"/>
    <row r="298" ht="16.5" customHeight="1" x14ac:dyDescent="0.25"/>
    <row r="299" ht="16.5" customHeight="1" x14ac:dyDescent="0.25"/>
    <row r="300" ht="16.5" customHeight="1" x14ac:dyDescent="0.25"/>
    <row r="301" ht="16.5" customHeight="1" x14ac:dyDescent="0.25"/>
    <row r="302" ht="16.5" customHeight="1" x14ac:dyDescent="0.25"/>
    <row r="303" ht="16.5" customHeight="1" x14ac:dyDescent="0.25"/>
    <row r="304" ht="16.5" customHeight="1" x14ac:dyDescent="0.25"/>
    <row r="305" ht="16.5" customHeight="1" x14ac:dyDescent="0.25"/>
    <row r="306" ht="16.5" customHeight="1" x14ac:dyDescent="0.25"/>
    <row r="307" ht="16.5" customHeight="1" x14ac:dyDescent="0.25"/>
    <row r="308" ht="16.5" customHeight="1" x14ac:dyDescent="0.25"/>
    <row r="309" ht="16.5" customHeight="1" x14ac:dyDescent="0.25"/>
    <row r="310" ht="16.5" customHeight="1" x14ac:dyDescent="0.25"/>
    <row r="311" ht="16.5" customHeight="1" x14ac:dyDescent="0.25"/>
    <row r="312" ht="16.5" customHeight="1" x14ac:dyDescent="0.25"/>
    <row r="313" ht="16.5" customHeight="1" x14ac:dyDescent="0.25"/>
    <row r="314" ht="16.5" customHeight="1" x14ac:dyDescent="0.25"/>
    <row r="315" ht="16.5" customHeight="1" x14ac:dyDescent="0.25"/>
    <row r="316" ht="16.5" customHeight="1" x14ac:dyDescent="0.25"/>
    <row r="317" ht="16.5" customHeight="1" x14ac:dyDescent="0.25"/>
    <row r="318" ht="16.5" customHeight="1" x14ac:dyDescent="0.25"/>
    <row r="319" ht="16.5" customHeight="1" x14ac:dyDescent="0.25"/>
    <row r="320" ht="16.5" customHeight="1" x14ac:dyDescent="0.25"/>
    <row r="321" ht="16.5" customHeight="1" x14ac:dyDescent="0.25"/>
    <row r="322" ht="16.5" customHeight="1" x14ac:dyDescent="0.25"/>
    <row r="323" ht="16.5" customHeight="1" x14ac:dyDescent="0.25"/>
    <row r="324" ht="16.5" customHeight="1" x14ac:dyDescent="0.25"/>
    <row r="325" ht="16.5" customHeight="1" x14ac:dyDescent="0.25"/>
    <row r="326" ht="16.5" customHeight="1" x14ac:dyDescent="0.25"/>
    <row r="327" ht="16.5" customHeight="1" x14ac:dyDescent="0.25"/>
    <row r="328" ht="16.5" customHeight="1" x14ac:dyDescent="0.25"/>
    <row r="329" ht="16.5" customHeight="1" x14ac:dyDescent="0.25"/>
    <row r="330" ht="16.5" customHeight="1" x14ac:dyDescent="0.25"/>
    <row r="331" ht="16.5" customHeight="1" x14ac:dyDescent="0.25"/>
    <row r="332" ht="16.5" customHeight="1" x14ac:dyDescent="0.25"/>
    <row r="333" ht="16.5" customHeight="1" x14ac:dyDescent="0.25"/>
    <row r="334" ht="16.5" customHeight="1" x14ac:dyDescent="0.25"/>
    <row r="335" ht="16.5" customHeight="1" x14ac:dyDescent="0.25"/>
    <row r="336" ht="16.5" customHeight="1" x14ac:dyDescent="0.25"/>
    <row r="337" ht="16.5" customHeight="1" x14ac:dyDescent="0.25"/>
    <row r="338" ht="16.5" customHeight="1" x14ac:dyDescent="0.25"/>
    <row r="339" ht="16.5" customHeight="1" x14ac:dyDescent="0.25"/>
    <row r="340" ht="16.5" customHeight="1" x14ac:dyDescent="0.25"/>
    <row r="341" ht="16.5" customHeight="1" x14ac:dyDescent="0.25"/>
    <row r="342" ht="16.5" customHeight="1" x14ac:dyDescent="0.25"/>
    <row r="343" ht="16.5" customHeight="1" x14ac:dyDescent="0.25"/>
    <row r="344" ht="16.5" customHeight="1" x14ac:dyDescent="0.25"/>
    <row r="345" ht="16.5" customHeight="1" x14ac:dyDescent="0.25"/>
    <row r="346" ht="16.5" customHeight="1" x14ac:dyDescent="0.25"/>
  </sheetData>
  <sheetProtection formatCells="0" formatColumns="0" formatRows="0" insertColumns="0" insertRows="0" insertHyperlinks="0" deleteColumns="0" deleteRows="0" sort="0" autoFilter="0" pivotTables="0"/>
  <mergeCells count="1">
    <mergeCell ref="AI5:AM5"/>
  </mergeCells>
  <conditionalFormatting sqref="D7:AF11">
    <cfRule type="expression" dxfId="52" priority="1" stopIfTrue="1">
      <formula>D7=Código2</formula>
    </cfRule>
    <cfRule type="expression" dxfId="51" priority="2" stopIfTrue="1">
      <formula>D7=Código5</formula>
    </cfRule>
    <cfRule type="expression" dxfId="50" priority="3" stopIfTrue="1">
      <formula>D7=Código4</formula>
    </cfRule>
    <cfRule type="expression" dxfId="49" priority="4" stopIfTrue="1">
      <formula>D7=Código3</formula>
    </cfRule>
    <cfRule type="expression" dxfId="48" priority="5" stopIfTrue="1">
      <formula>D7=Código1</formula>
    </cfRule>
  </conditionalFormatting>
  <conditionalFormatting sqref="AG7:AH11">
    <cfRule type="expression" dxfId="47" priority="8" stopIfTrue="1">
      <formula>AG7=Código5</formula>
    </cfRule>
    <cfRule type="expression" dxfId="46" priority="9" stopIfTrue="1">
      <formula>AG7=Código4</formula>
    </cfRule>
    <cfRule type="expression" dxfId="45" priority="10" stopIfTrue="1">
      <formula>AG7=Código3</formula>
    </cfRule>
    <cfRule type="expression" dxfId="44" priority="11" stopIfTrue="1">
      <formula>AG7=Código1</formula>
    </cfRule>
  </conditionalFormatting>
  <conditionalFormatting sqref="AG7:AI11">
    <cfRule type="expression" dxfId="43" priority="7" stopIfTrue="1">
      <formula>AG7=Código2</formula>
    </cfRule>
  </conditionalFormatting>
  <conditionalFormatting sqref="AM7:AM11">
    <cfRule type="dataBar" priority="6">
      <dataBar>
        <cfvo type="min"/>
        <cfvo type="num" val="31"/>
        <color theme="4"/>
      </dataBar>
      <extLst>
        <ext xmlns:x14="http://schemas.microsoft.com/office/spreadsheetml/2009/9/main" uri="{B025F937-C7B1-47D3-B67F-A62EFF666E3E}">
          <x14:id>{F1B3F415-3C3C-4616-B9AA-9BBD8C09A1CE}</x14:id>
        </ext>
      </extLst>
    </cfRule>
  </conditionalFormatting>
  <dataValidations count="1">
    <dataValidation type="list" errorStyle="warning" allowBlank="1" showInputMessage="1" showErrorMessage="1" errorTitle="Ops!" error="A ID de Aluno que você inseriu não está na planilha Lista de Alunos. Você pode clicar em Sim para usar a ID de Aluno inserida, mas ela não estará disponível na planilha Relatório de Presença dos Alunos." sqref="B7:B11" xr:uid="{00000000-0002-0000-0700-000000000000}">
      <formula1>IDAluno</formula1>
    </dataValidation>
  </dataValidations>
  <printOptions horizontalCentered="1"/>
  <pageMargins left="0.5" right="0.5" top="0.75" bottom="0.75" header="0.3" footer="0.3"/>
  <pageSetup paperSize="9" scale="59" fitToHeight="0" orientation="landscape" verticalDpi="1200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1B3F415-3C3C-4616-B9AA-9BBD8C09A1CE}">
            <x14:dataBar minLength="0" maxLength="100" border="1" negativeBarBorderColorSameAsPositive="0">
              <x14:cfvo type="autoMin"/>
              <x14:cfvo type="num">
                <xm:f>31</xm:f>
              </x14:cfvo>
              <x14:borderColor theme="4"/>
              <x14:negativeFillColor rgb="FFFF0000"/>
              <x14:negativeBorderColor rgb="FFFF0000"/>
              <x14:axisColor rgb="FF000000"/>
            </x14:dataBar>
          </x14:cfRule>
          <xm:sqref>AM7:AM11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79998168889431442"/>
    <pageSetUpPr fitToPage="1"/>
  </sheetPr>
  <dimension ref="A1:AM264"/>
  <sheetViews>
    <sheetView showGridLines="0" zoomScaleNormal="100" workbookViewId="0">
      <pane xSplit="3" ySplit="6" topLeftCell="D7" activePane="bottomRight" state="frozen"/>
      <selection activeCell="Y16" sqref="Y16"/>
      <selection pane="topRight" activeCell="Y16" sqref="Y16"/>
      <selection pane="bottomLeft" activeCell="Y16" sqref="Y16"/>
      <selection pane="bottomRight" activeCell="AH19" sqref="AH19"/>
    </sheetView>
  </sheetViews>
  <sheetFormatPr defaultColWidth="9.109375" defaultRowHeight="15" customHeight="1" x14ac:dyDescent="0.25"/>
  <cols>
    <col min="1" max="1" width="2.6640625" style="8" customWidth="1"/>
    <col min="2" max="2" width="11.88671875" style="8" bestFit="1" customWidth="1"/>
    <col min="3" max="3" width="28.88671875" style="9" customWidth="1"/>
    <col min="4" max="34" width="5" style="7" customWidth="1"/>
    <col min="35" max="35" width="4.6640625" style="6" customWidth="1"/>
    <col min="36" max="36" width="4.6640625" style="7" customWidth="1"/>
    <col min="37" max="38" width="4.6640625" style="8" customWidth="1"/>
    <col min="39" max="39" width="19.5546875" style="8" bestFit="1" customWidth="1"/>
    <col min="40" max="16384" width="9.109375" style="8"/>
  </cols>
  <sheetData>
    <row r="1" spans="1:39" s="1" customFormat="1" ht="42" customHeight="1" x14ac:dyDescent="0.25">
      <c r="A1" s="21" t="s">
        <v>88</v>
      </c>
      <c r="B1" s="22"/>
      <c r="C1" s="22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2"/>
      <c r="AD1" s="22"/>
      <c r="AE1" s="22"/>
      <c r="AF1" s="22"/>
      <c r="AG1" s="24"/>
      <c r="AH1" s="22"/>
      <c r="AI1" s="22"/>
      <c r="AJ1" s="25"/>
      <c r="AK1" s="22"/>
      <c r="AL1" s="34" t="s">
        <v>72</v>
      </c>
      <c r="AM1" s="35">
        <f>AnoCalendário</f>
        <v>2016</v>
      </c>
    </row>
    <row r="2" spans="1:39" customFormat="1" ht="13.2" x14ac:dyDescent="0.25"/>
    <row r="3" spans="1:39" s="17" customFormat="1" ht="12.75" customHeight="1" x14ac:dyDescent="0.25">
      <c r="C3" s="27" t="str">
        <f>TextodaChavedeCor</f>
        <v xml:space="preserve">CHAVE COLORIDA </v>
      </c>
      <c r="D3" s="28" t="str">
        <f>Código1</f>
        <v>T</v>
      </c>
      <c r="E3" s="41" t="str">
        <f>TextodeCódigo1</f>
        <v>Atrasado</v>
      </c>
      <c r="F3" s="33"/>
      <c r="H3" s="29" t="str">
        <f>Código2</f>
        <v>E</v>
      </c>
      <c r="I3" s="33" t="str">
        <f>TextodeCódigo2</f>
        <v>Dispensado</v>
      </c>
      <c r="L3" s="30" t="str">
        <f>Código3</f>
        <v>F</v>
      </c>
      <c r="M3" s="33" t="str">
        <f>TextodeCódigo3</f>
        <v>faltou a aula</v>
      </c>
      <c r="P3" s="31" t="str">
        <f>Código4</f>
        <v>P</v>
      </c>
      <c r="Q3" s="33" t="str">
        <f>TextodeCódigo4</f>
        <v>Presente</v>
      </c>
      <c r="T3" s="32" t="str">
        <f>Código5</f>
        <v>N</v>
      </c>
      <c r="U3" s="33" t="str">
        <f>TextodeCódigo5</f>
        <v>Sem Aula</v>
      </c>
      <c r="W3"/>
      <c r="X3"/>
      <c r="Y3"/>
      <c r="AD3" s="16"/>
      <c r="AE3" s="16"/>
      <c r="AH3" s="18"/>
      <c r="AI3" s="19"/>
      <c r="AK3" s="20"/>
    </row>
    <row r="4" spans="1:39" customFormat="1" ht="16.5" customHeight="1" x14ac:dyDescent="0.25"/>
    <row r="5" spans="1:39" s="2" customFormat="1" ht="18" customHeight="1" thickBot="1" x14ac:dyDescent="0.35">
      <c r="B5" s="79">
        <f>DATE(AnoCalendário+1,1,1)</f>
        <v>42736</v>
      </c>
      <c r="C5" s="80"/>
      <c r="D5" s="81" t="str">
        <f>TEXT(WEEKDAY(DATE(AnoCalendário+1,1,1),1),"ddd")</f>
        <v>dom</v>
      </c>
      <c r="E5" s="81" t="str">
        <f>TEXT(WEEKDAY(DATE(AnoCalendário+1,1,2),1),"ddd")</f>
        <v>seg</v>
      </c>
      <c r="F5" s="81" t="str">
        <f>TEXT(WEEKDAY(DATE(AnoCalendário+1,1,3),1),"ddd")</f>
        <v>ter</v>
      </c>
      <c r="G5" s="81" t="str">
        <f>TEXT(WEEKDAY(DATE(AnoCalendário+1,1,4),1),"ddd")</f>
        <v>qua</v>
      </c>
      <c r="H5" s="81" t="str">
        <f>TEXT(WEEKDAY(DATE(AnoCalendário+1,1,5),1),"ddd")</f>
        <v>qui</v>
      </c>
      <c r="I5" s="81" t="str">
        <f>TEXT(WEEKDAY(DATE(AnoCalendário+1,1,6),1),"ddd")</f>
        <v>sex</v>
      </c>
      <c r="J5" s="81" t="str">
        <f>TEXT(WEEKDAY(DATE(AnoCalendário+1,1,7),1),"ddd")</f>
        <v>sáb</v>
      </c>
      <c r="K5" s="81" t="str">
        <f>TEXT(WEEKDAY(DATE(AnoCalendário+1,1,8),1),"ddd")</f>
        <v>dom</v>
      </c>
      <c r="L5" s="81" t="str">
        <f>TEXT(WEEKDAY(DATE(AnoCalendário+1,1,9),1),"ddd")</f>
        <v>seg</v>
      </c>
      <c r="M5" s="81" t="str">
        <f>TEXT(WEEKDAY(DATE(AnoCalendário+1,1,10),1),"ddd")</f>
        <v>ter</v>
      </c>
      <c r="N5" s="81" t="str">
        <f>TEXT(WEEKDAY(DATE(AnoCalendário+1,1,11),1),"ddd")</f>
        <v>qua</v>
      </c>
      <c r="O5" s="81" t="str">
        <f>TEXT(WEEKDAY(DATE(AnoCalendário+1,1,12),1),"ddd")</f>
        <v>qui</v>
      </c>
      <c r="P5" s="81" t="str">
        <f>TEXT(WEEKDAY(DATE(AnoCalendário+1,1,13),1),"ddd")</f>
        <v>sex</v>
      </c>
      <c r="Q5" s="81" t="str">
        <f>TEXT(WEEKDAY(DATE(AnoCalendário+1,1,14),1),"ddd")</f>
        <v>sáb</v>
      </c>
      <c r="R5" s="81" t="str">
        <f>TEXT(WEEKDAY(DATE(AnoCalendário+1,1,15),1),"ddd")</f>
        <v>dom</v>
      </c>
      <c r="S5" s="81" t="str">
        <f>TEXT(WEEKDAY(DATE(AnoCalendário+1,1,16),1),"ddd")</f>
        <v>seg</v>
      </c>
      <c r="T5" s="81" t="str">
        <f>TEXT(WEEKDAY(DATE(AnoCalendário+1,1,17),1),"ddd")</f>
        <v>ter</v>
      </c>
      <c r="U5" s="81" t="str">
        <f>TEXT(WEEKDAY(DATE(AnoCalendário+1,1,18),1),"ddd")</f>
        <v>qua</v>
      </c>
      <c r="V5" s="81" t="str">
        <f>TEXT(WEEKDAY(DATE(AnoCalendário+1,1,19),1),"ddd")</f>
        <v>qui</v>
      </c>
      <c r="W5" s="81" t="str">
        <f>TEXT(WEEKDAY(DATE(AnoCalendário+1,1,20),1),"ddd")</f>
        <v>sex</v>
      </c>
      <c r="X5" s="81" t="str">
        <f>TEXT(WEEKDAY(DATE(AnoCalendário+1,1,21),1),"ddd")</f>
        <v>sáb</v>
      </c>
      <c r="Y5" s="81" t="str">
        <f>TEXT(WEEKDAY(DATE(AnoCalendário+1,1,22),1),"ddd")</f>
        <v>dom</v>
      </c>
      <c r="Z5" s="81" t="str">
        <f>TEXT(WEEKDAY(DATE(AnoCalendário+1,1,23),1),"ddd")</f>
        <v>seg</v>
      </c>
      <c r="AA5" s="81" t="str">
        <f>TEXT(WEEKDAY(DATE(AnoCalendário+1,1,24),1),"ddd")</f>
        <v>ter</v>
      </c>
      <c r="AB5" s="81" t="str">
        <f>TEXT(WEEKDAY(DATE(AnoCalendário+1,1,25),1),"ddd")</f>
        <v>qua</v>
      </c>
      <c r="AC5" s="81" t="str">
        <f>TEXT(WEEKDAY(DATE(AnoCalendário+1,1,26),1),"ddd")</f>
        <v>qui</v>
      </c>
      <c r="AD5" s="81" t="str">
        <f>TEXT(WEEKDAY(DATE(AnoCalendário+1,1,27),1),"ddd")</f>
        <v>sex</v>
      </c>
      <c r="AE5" s="81" t="str">
        <f>TEXT(WEEKDAY(DATE(AnoCalendário+1,1,28),1),"ddd")</f>
        <v>sáb</v>
      </c>
      <c r="AF5" s="81" t="str">
        <f>TEXT(WEEKDAY(DATE(AnoCalendário+1,1,29),1),"ddd")</f>
        <v>dom</v>
      </c>
      <c r="AG5" s="81" t="str">
        <f>TEXT(WEEKDAY(DATE(AnoCalendário+1,1,30),1),"ddd")</f>
        <v>seg</v>
      </c>
      <c r="AH5" s="81" t="str">
        <f>TEXT(WEEKDAY(DATE(AnoCalendário+1,1,31),1),"ddd")</f>
        <v>ter</v>
      </c>
      <c r="AI5" s="108" t="s">
        <v>41</v>
      </c>
      <c r="AJ5" s="108"/>
      <c r="AK5" s="108"/>
      <c r="AL5" s="108"/>
      <c r="AM5" s="108"/>
    </row>
    <row r="6" spans="1:39" ht="14.25" customHeight="1" thickTop="1" thickBot="1" x14ac:dyDescent="0.3">
      <c r="B6" s="82" t="s">
        <v>34</v>
      </c>
      <c r="C6" s="83" t="s">
        <v>36</v>
      </c>
      <c r="D6" s="84" t="s">
        <v>0</v>
      </c>
      <c r="E6" s="84" t="s">
        <v>1</v>
      </c>
      <c r="F6" s="84" t="s">
        <v>2</v>
      </c>
      <c r="G6" s="84" t="s">
        <v>3</v>
      </c>
      <c r="H6" s="84" t="s">
        <v>4</v>
      </c>
      <c r="I6" s="84" t="s">
        <v>5</v>
      </c>
      <c r="J6" s="84" t="s">
        <v>6</v>
      </c>
      <c r="K6" s="84" t="s">
        <v>7</v>
      </c>
      <c r="L6" s="84" t="s">
        <v>8</v>
      </c>
      <c r="M6" s="84" t="s">
        <v>9</v>
      </c>
      <c r="N6" s="84" t="s">
        <v>10</v>
      </c>
      <c r="O6" s="84" t="s">
        <v>11</v>
      </c>
      <c r="P6" s="84" t="s">
        <v>12</v>
      </c>
      <c r="Q6" s="84" t="s">
        <v>13</v>
      </c>
      <c r="R6" s="84" t="s">
        <v>14</v>
      </c>
      <c r="S6" s="84" t="s">
        <v>15</v>
      </c>
      <c r="T6" s="84" t="s">
        <v>16</v>
      </c>
      <c r="U6" s="84" t="s">
        <v>17</v>
      </c>
      <c r="V6" s="84" t="s">
        <v>18</v>
      </c>
      <c r="W6" s="84" t="s">
        <v>19</v>
      </c>
      <c r="X6" s="84" t="s">
        <v>20</v>
      </c>
      <c r="Y6" s="84" t="s">
        <v>21</v>
      </c>
      <c r="Z6" s="84" t="s">
        <v>22</v>
      </c>
      <c r="AA6" s="84" t="s">
        <v>23</v>
      </c>
      <c r="AB6" s="84" t="s">
        <v>24</v>
      </c>
      <c r="AC6" s="84" t="s">
        <v>25</v>
      </c>
      <c r="AD6" s="84" t="s">
        <v>26</v>
      </c>
      <c r="AE6" s="84" t="s">
        <v>27</v>
      </c>
      <c r="AF6" s="84" t="s">
        <v>28</v>
      </c>
      <c r="AG6" s="84" t="s">
        <v>29</v>
      </c>
      <c r="AH6" s="84" t="s">
        <v>30</v>
      </c>
      <c r="AI6" s="95" t="s">
        <v>37</v>
      </c>
      <c r="AJ6" s="86" t="s">
        <v>39</v>
      </c>
      <c r="AK6" s="87" t="s">
        <v>132</v>
      </c>
      <c r="AL6" s="88" t="s">
        <v>31</v>
      </c>
      <c r="AM6" s="91" t="s">
        <v>40</v>
      </c>
    </row>
    <row r="7" spans="1:39" ht="16.5" customHeight="1" thickTop="1" thickBot="1" x14ac:dyDescent="0.3">
      <c r="B7" s="96" t="s">
        <v>91</v>
      </c>
      <c r="C7" s="97" t="str">
        <f>IFERROR(VLOOKUP(PresençaemJaneiro[[#This Row],[ID do Aluno]],ListadeAlunos[],18,FALSE),"")</f>
        <v>Francisco  Alcilandio</v>
      </c>
      <c r="D7" s="98" t="s">
        <v>71</v>
      </c>
      <c r="E7" s="98" t="s">
        <v>37</v>
      </c>
      <c r="F7" s="98" t="s">
        <v>31</v>
      </c>
      <c r="G7" s="98" t="s">
        <v>132</v>
      </c>
      <c r="H7" s="98" t="s">
        <v>37</v>
      </c>
      <c r="I7" s="98" t="s">
        <v>132</v>
      </c>
      <c r="J7" s="98" t="s">
        <v>71</v>
      </c>
      <c r="K7" s="98" t="s">
        <v>71</v>
      </c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9"/>
      <c r="AG7" s="84"/>
      <c r="AH7" s="84"/>
      <c r="AI7" s="100">
        <f>COUNTIF(PresençaemJaneiro[[#This Row],[1]:[31]],Código1)</f>
        <v>2</v>
      </c>
      <c r="AJ7" s="100">
        <f>COUNTIF(PresençaemJaneiro[[#This Row],[1]:[31]],Código2)</f>
        <v>0</v>
      </c>
      <c r="AK7" s="100">
        <f>COUNTIF(PresençaemJaneiro[[#This Row],[1]:[31]],Código3)</f>
        <v>2</v>
      </c>
      <c r="AL7" s="100">
        <f>COUNTIF(PresençaemJaneiro[[#This Row],[1]:[31]],Código4)</f>
        <v>1</v>
      </c>
      <c r="AM7" s="93">
        <f>SUM(PresençaemJaneiro[[#This Row],[E]:[F]])</f>
        <v>2</v>
      </c>
    </row>
    <row r="8" spans="1:39" ht="16.5" customHeight="1" thickTop="1" thickBot="1" x14ac:dyDescent="0.3">
      <c r="B8" s="96" t="s">
        <v>89</v>
      </c>
      <c r="C8" s="101" t="str">
        <f>IFERROR(VLOOKUP(PresençaemJaneiro[[#This Row],[ID do Aluno]],ListadeAlunos[],18,FALSE),"")</f>
        <v>Manuel Oliveira</v>
      </c>
      <c r="D8" s="98" t="s">
        <v>71</v>
      </c>
      <c r="E8" s="98"/>
      <c r="F8" s="98" t="s">
        <v>137</v>
      </c>
      <c r="G8" s="98" t="s">
        <v>137</v>
      </c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9"/>
      <c r="AG8" s="84"/>
      <c r="AH8" s="84"/>
      <c r="AI8" s="100">
        <f>COUNTIF(PresençaemJaneiro[[#This Row],[1]:[31]],Código1)</f>
        <v>0</v>
      </c>
      <c r="AJ8" s="100">
        <f>COUNTIF(PresençaemJaneiro[[#This Row],[1]:[31]],Código2)</f>
        <v>0</v>
      </c>
      <c r="AK8" s="100">
        <f>COUNTIF(PresençaemJaneiro[[#This Row],[1]:[31]],Código3)</f>
        <v>0</v>
      </c>
      <c r="AL8" s="100">
        <f>COUNTIF(PresençaemJaneiro[[#This Row],[1]:[31]],Código4)</f>
        <v>2</v>
      </c>
      <c r="AM8" s="93">
        <f>SUM(PresençaemJaneiro[[#This Row],[E]:[F]])</f>
        <v>0</v>
      </c>
    </row>
    <row r="9" spans="1:39" ht="16.5" customHeight="1" thickTop="1" thickBot="1" x14ac:dyDescent="0.3">
      <c r="B9" s="96"/>
      <c r="C9" s="101" t="str">
        <f>IFERROR(VLOOKUP(PresençaemJaneiro[[#This Row],[ID do Aluno]],ListadeAlunos[],18,FALSE),"")</f>
        <v/>
      </c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9"/>
      <c r="AG9" s="84"/>
      <c r="AH9" s="84"/>
      <c r="AI9" s="100">
        <f>COUNTIF(PresençaemJaneiro[[#This Row],[1]:[31]],Código1)</f>
        <v>0</v>
      </c>
      <c r="AJ9" s="100">
        <f>COUNTIF(PresençaemJaneiro[[#This Row],[1]:[31]],Código2)</f>
        <v>0</v>
      </c>
      <c r="AK9" s="100">
        <f>COUNTIF(PresençaemJaneiro[[#This Row],[1]:[31]],Código3)</f>
        <v>0</v>
      </c>
      <c r="AL9" s="100">
        <f>COUNTIF(PresençaemJaneiro[[#This Row],[1]:[31]],Código4)</f>
        <v>0</v>
      </c>
      <c r="AM9" s="93">
        <f>SUM(PresençaemJaneiro[[#This Row],[E]:[F]])</f>
        <v>0</v>
      </c>
    </row>
    <row r="10" spans="1:39" ht="16.5" customHeight="1" thickTop="1" thickBot="1" x14ac:dyDescent="0.3">
      <c r="B10" s="96"/>
      <c r="C10" s="101" t="str">
        <f>IFERROR(VLOOKUP(PresençaemJaneiro[[#This Row],[ID do Aluno]],ListadeAlunos[],18,FALSE),"")</f>
        <v/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9"/>
      <c r="AG10" s="84"/>
      <c r="AH10" s="84"/>
      <c r="AI10" s="100">
        <f>COUNTIF(PresençaemJaneiro[[#This Row],[1]:[31]],Código1)</f>
        <v>0</v>
      </c>
      <c r="AJ10" s="100">
        <f>COUNTIF(PresençaemJaneiro[[#This Row],[1]:[31]],Código2)</f>
        <v>0</v>
      </c>
      <c r="AK10" s="100">
        <f>COUNTIF(PresençaemJaneiro[[#This Row],[1]:[31]],Código3)</f>
        <v>0</v>
      </c>
      <c r="AL10" s="100">
        <f>COUNTIF(PresençaemJaneiro[[#This Row],[1]:[31]],Código4)</f>
        <v>0</v>
      </c>
      <c r="AM10" s="93">
        <f>SUM(PresençaemJaneiro[[#This Row],[E]:[F]])</f>
        <v>0</v>
      </c>
    </row>
    <row r="11" spans="1:39" ht="16.5" customHeight="1" thickTop="1" thickBot="1" x14ac:dyDescent="0.3">
      <c r="B11" s="96"/>
      <c r="C11" s="101" t="str">
        <f>IFERROR(VLOOKUP(PresençaemJaneiro[[#This Row],[ID do Aluno]],ListadeAlunos[],18,FALSE),"")</f>
        <v/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9"/>
      <c r="AG11" s="84"/>
      <c r="AH11" s="84"/>
      <c r="AI11" s="100">
        <f>COUNTIF(PresençaemJaneiro[[#This Row],[1]:[31]],Código1)</f>
        <v>0</v>
      </c>
      <c r="AJ11" s="100">
        <f>COUNTIF(PresençaemJaneiro[[#This Row],[1]:[31]],Código2)</f>
        <v>0</v>
      </c>
      <c r="AK11" s="100">
        <f>COUNTIF(PresençaemJaneiro[[#This Row],[1]:[31]],Código3)</f>
        <v>0</v>
      </c>
      <c r="AL11" s="100">
        <f>COUNTIF(PresençaemJaneiro[[#This Row],[1]:[31]],Código4)</f>
        <v>0</v>
      </c>
      <c r="AM11" s="93">
        <f>SUM(PresençaemJaneiro[[#This Row],[E]:[F]])</f>
        <v>0</v>
      </c>
    </row>
    <row r="12" spans="1:39" ht="16.5" customHeight="1" thickTop="1" thickBot="1" x14ac:dyDescent="0.3">
      <c r="B12" s="84"/>
      <c r="C12" s="89" t="s">
        <v>114</v>
      </c>
      <c r="D12" s="93">
        <f>COUNTIF(PresençaemJaneiro[1],"U")+COUNTIF(PresençaemJaneiro[1],"E")</f>
        <v>0</v>
      </c>
      <c r="E12" s="93">
        <f>COUNTIF(PresençaemJaneiro[2],"U")+COUNTIF(PresençaemJaneiro[2],"E")</f>
        <v>0</v>
      </c>
      <c r="F12" s="93">
        <f>COUNTIF(PresençaemJaneiro[3],"U")+COUNTIF(PresençaemJaneiro[3],"E")</f>
        <v>0</v>
      </c>
      <c r="G12" s="93">
        <f>COUNTIF(PresençaemJaneiro[4],"U")+COUNTIF(PresençaemJaneiro[4],"E")</f>
        <v>0</v>
      </c>
      <c r="H12" s="93">
        <f>COUNTIF(PresençaemJaneiro[5],"U")+COUNTIF(PresençaemJaneiro[5],"E")</f>
        <v>0</v>
      </c>
      <c r="I12" s="93">
        <f>COUNTIF(PresençaemJaneiro[6],"U")+COUNTIF(PresençaemJaneiro[6],"E")</f>
        <v>0</v>
      </c>
      <c r="J12" s="93">
        <f>COUNTIF(PresençaemJaneiro[7],"U")+COUNTIF(PresençaemJaneiro[7],"E")</f>
        <v>0</v>
      </c>
      <c r="K12" s="93">
        <f>COUNTIF(PresençaemJaneiro[8],"U")+COUNTIF(PresençaemJaneiro[8],"E")</f>
        <v>0</v>
      </c>
      <c r="L12" s="93">
        <f>COUNTIF(PresençaemJaneiro[9],"U")+COUNTIF(PresençaemJaneiro[9],"E")</f>
        <v>0</v>
      </c>
      <c r="M12" s="93">
        <f>COUNTIF(PresençaemJaneiro[10],"U")+COUNTIF(PresençaemJaneiro[10],"E")</f>
        <v>0</v>
      </c>
      <c r="N12" s="93">
        <f>COUNTIF(PresençaemJaneiro[11],"U")+COUNTIF(PresençaemJaneiro[11],"E")</f>
        <v>0</v>
      </c>
      <c r="O12" s="93">
        <f>COUNTIF(PresençaemJaneiro[12],"U")+COUNTIF(PresençaemJaneiro[12],"E")</f>
        <v>0</v>
      </c>
      <c r="P12" s="93">
        <f>COUNTIF(PresençaemJaneiro[13],"U")+COUNTIF(PresençaemJaneiro[13],"E")</f>
        <v>0</v>
      </c>
      <c r="Q12" s="93">
        <f>COUNTIF(PresençaemJaneiro[14],"U")+COUNTIF(PresençaemJaneiro[14],"E")</f>
        <v>0</v>
      </c>
      <c r="R12" s="93">
        <f>COUNTIF(PresençaemJaneiro[15],"U")+COUNTIF(PresençaemJaneiro[15],"E")</f>
        <v>0</v>
      </c>
      <c r="S12" s="93">
        <f>COUNTIF(PresençaemJaneiro[16],"U")+COUNTIF(PresençaemJaneiro[16],"E")</f>
        <v>0</v>
      </c>
      <c r="T12" s="93">
        <f>COUNTIF(PresençaemJaneiro[17],"U")+COUNTIF(PresençaemJaneiro[17],"E")</f>
        <v>0</v>
      </c>
      <c r="U12" s="93">
        <f>COUNTIF(PresençaemJaneiro[18],"U")+COUNTIF(PresençaemJaneiro[18],"E")</f>
        <v>0</v>
      </c>
      <c r="V12" s="93">
        <f>COUNTIF(PresençaemJaneiro[19],"U")+COUNTIF(PresençaemJaneiro[19],"E")</f>
        <v>0</v>
      </c>
      <c r="W12" s="93">
        <f>COUNTIF(PresençaemJaneiro[20],"U")+COUNTIF(PresençaemJaneiro[20],"E")</f>
        <v>0</v>
      </c>
      <c r="X12" s="93">
        <f>COUNTIF(PresençaemJaneiro[21],"U")+COUNTIF(PresençaemJaneiro[21],"E")</f>
        <v>0</v>
      </c>
      <c r="Y12" s="93">
        <f>COUNTIF(PresençaemJaneiro[22],"U")+COUNTIF(PresençaemJaneiro[22],"E")</f>
        <v>0</v>
      </c>
      <c r="Z12" s="93">
        <f>COUNTIF(PresençaemJaneiro[23],"U")+COUNTIF(PresençaemJaneiro[23],"E")</f>
        <v>0</v>
      </c>
      <c r="AA12" s="93">
        <f>COUNTIF(PresençaemJaneiro[24],"U")+COUNTIF(PresençaemJaneiro[24],"E")</f>
        <v>0</v>
      </c>
      <c r="AB12" s="93">
        <f>COUNTIF(PresençaemJaneiro[25],"U")+COUNTIF(PresençaemJaneiro[25],"E")</f>
        <v>0</v>
      </c>
      <c r="AC12" s="93">
        <f>COUNTIF(PresençaemJaneiro[26],"U")+COUNTIF(PresençaemJaneiro[26],"E")</f>
        <v>0</v>
      </c>
      <c r="AD12" s="93">
        <f>COUNTIF(PresençaemJaneiro[27],"U")+COUNTIF(PresençaemJaneiro[27],"E")</f>
        <v>0</v>
      </c>
      <c r="AE12" s="93">
        <f>COUNTIF(PresençaemJaneiro[28],"U")+COUNTIF(PresençaemJaneiro[28],"E")</f>
        <v>0</v>
      </c>
      <c r="AF12" s="93">
        <f>COUNTIF(PresençaemJaneiro[29],"U")+COUNTIF(PresençaemJaneiro[29],"E")</f>
        <v>0</v>
      </c>
      <c r="AG12" s="93"/>
      <c r="AH12" s="93"/>
      <c r="AI12" s="93">
        <f>SUBTOTAL(109,PresençaemJaneiro[T])</f>
        <v>2</v>
      </c>
      <c r="AJ12" s="93">
        <f>SUBTOTAL(109,PresençaemJaneiro[E])</f>
        <v>0</v>
      </c>
      <c r="AK12" s="93">
        <f>SUBTOTAL(109,PresençaemJaneiro[F])</f>
        <v>2</v>
      </c>
      <c r="AL12" s="93">
        <f>SUBTOTAL(109,PresençaemJaneiro[P])</f>
        <v>3</v>
      </c>
      <c r="AM12" s="93">
        <f>SUBTOTAL(109,PresençaemJaneiro[Dias de Ausência])</f>
        <v>2</v>
      </c>
    </row>
    <row r="13" spans="1:39" ht="16.5" customHeight="1" thickTop="1" x14ac:dyDescent="0.25"/>
    <row r="14" spans="1:39" ht="16.5" customHeight="1" x14ac:dyDescent="0.25"/>
    <row r="15" spans="1:39" ht="16.5" customHeight="1" x14ac:dyDescent="0.25"/>
    <row r="16" spans="1:39" ht="16.5" customHeight="1" x14ac:dyDescent="0.25"/>
    <row r="17" ht="16.5" customHeight="1" x14ac:dyDescent="0.25"/>
    <row r="18" ht="16.5" customHeight="1" x14ac:dyDescent="0.25"/>
    <row r="19" ht="16.5" customHeight="1" x14ac:dyDescent="0.25"/>
    <row r="20" ht="16.5" customHeight="1" x14ac:dyDescent="0.25"/>
    <row r="21" ht="16.5" customHeight="1" x14ac:dyDescent="0.25"/>
    <row r="22" ht="16.5" customHeight="1" x14ac:dyDescent="0.25"/>
    <row r="23" ht="16.5" customHeight="1" x14ac:dyDescent="0.25"/>
    <row r="24" ht="16.5" customHeight="1" x14ac:dyDescent="0.25"/>
    <row r="25" ht="16.5" customHeight="1" x14ac:dyDescent="0.25"/>
    <row r="26" ht="16.5" customHeight="1" x14ac:dyDescent="0.25"/>
    <row r="27" ht="16.5" customHeight="1" x14ac:dyDescent="0.25"/>
    <row r="28" ht="16.5" customHeight="1" x14ac:dyDescent="0.25"/>
    <row r="29" ht="16.5" customHeight="1" x14ac:dyDescent="0.25"/>
    <row r="30" ht="16.5" customHeight="1" x14ac:dyDescent="0.25"/>
    <row r="31" ht="16.5" customHeight="1" x14ac:dyDescent="0.25"/>
    <row r="32" ht="16.5" customHeight="1" x14ac:dyDescent="0.25"/>
    <row r="33" ht="16.5" customHeight="1" x14ac:dyDescent="0.25"/>
    <row r="34" ht="16.5" customHeight="1" x14ac:dyDescent="0.25"/>
    <row r="35" ht="16.5" customHeight="1" x14ac:dyDescent="0.25"/>
    <row r="36" ht="16.5" customHeight="1" x14ac:dyDescent="0.25"/>
    <row r="37" ht="16.5" customHeight="1" x14ac:dyDescent="0.25"/>
    <row r="38" ht="16.5" customHeight="1" x14ac:dyDescent="0.25"/>
    <row r="39" ht="16.5" customHeight="1" x14ac:dyDescent="0.25"/>
    <row r="40" ht="16.5" customHeight="1" x14ac:dyDescent="0.25"/>
    <row r="41" ht="16.5" customHeight="1" x14ac:dyDescent="0.25"/>
    <row r="42" ht="16.5" customHeight="1" x14ac:dyDescent="0.25"/>
    <row r="43" ht="16.5" customHeight="1" x14ac:dyDescent="0.25"/>
    <row r="44" ht="16.5" customHeight="1" x14ac:dyDescent="0.25"/>
    <row r="45" ht="16.5" customHeight="1" x14ac:dyDescent="0.25"/>
    <row r="46" ht="16.5" customHeight="1" x14ac:dyDescent="0.25"/>
    <row r="47" ht="16.5" customHeight="1" x14ac:dyDescent="0.25"/>
    <row r="48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2" ht="16.5" customHeight="1" x14ac:dyDescent="0.25"/>
    <row r="63" ht="16.5" customHeight="1" x14ac:dyDescent="0.25"/>
    <row r="64" ht="16.5" customHeight="1" x14ac:dyDescent="0.25"/>
    <row r="65" ht="16.5" customHeight="1" x14ac:dyDescent="0.25"/>
    <row r="66" ht="16.5" customHeight="1" x14ac:dyDescent="0.25"/>
    <row r="67" ht="16.5" customHeight="1" x14ac:dyDescent="0.25"/>
    <row r="68" ht="16.5" customHeight="1" x14ac:dyDescent="0.25"/>
    <row r="69" ht="16.5" customHeight="1" x14ac:dyDescent="0.25"/>
    <row r="70" ht="16.5" customHeight="1" x14ac:dyDescent="0.25"/>
    <row r="71" ht="16.5" customHeight="1" x14ac:dyDescent="0.25"/>
    <row r="72" ht="16.5" customHeight="1" x14ac:dyDescent="0.25"/>
    <row r="73" ht="16.5" customHeight="1" x14ac:dyDescent="0.25"/>
    <row r="74" ht="16.5" customHeight="1" x14ac:dyDescent="0.25"/>
    <row r="75" ht="16.5" customHeight="1" x14ac:dyDescent="0.25"/>
    <row r="76" ht="16.5" customHeight="1" x14ac:dyDescent="0.25"/>
    <row r="77" ht="16.5" customHeight="1" x14ac:dyDescent="0.25"/>
    <row r="78" ht="16.5" customHeight="1" x14ac:dyDescent="0.25"/>
    <row r="79" ht="16.5" customHeight="1" x14ac:dyDescent="0.25"/>
    <row r="80" ht="16.5" customHeight="1" x14ac:dyDescent="0.25"/>
    <row r="81" ht="16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  <row r="87" ht="16.5" customHeight="1" x14ac:dyDescent="0.25"/>
    <row r="88" ht="16.5" customHeight="1" x14ac:dyDescent="0.25"/>
    <row r="89" ht="16.5" customHeight="1" x14ac:dyDescent="0.25"/>
    <row r="90" ht="16.5" customHeight="1" x14ac:dyDescent="0.25"/>
    <row r="91" ht="16.5" customHeight="1" x14ac:dyDescent="0.25"/>
    <row r="92" ht="16.5" customHeight="1" x14ac:dyDescent="0.25"/>
    <row r="93" ht="16.5" customHeight="1" x14ac:dyDescent="0.25"/>
    <row r="94" ht="16.5" customHeight="1" x14ac:dyDescent="0.25"/>
    <row r="95" ht="16.5" customHeight="1" x14ac:dyDescent="0.25"/>
    <row r="96" ht="16.5" customHeight="1" x14ac:dyDescent="0.25"/>
    <row r="97" ht="16.5" customHeight="1" x14ac:dyDescent="0.25"/>
    <row r="98" ht="16.5" customHeight="1" x14ac:dyDescent="0.25"/>
    <row r="99" ht="16.5" customHeight="1" x14ac:dyDescent="0.25"/>
    <row r="100" ht="16.5" customHeight="1" x14ac:dyDescent="0.25"/>
    <row r="101" ht="16.5" customHeight="1" x14ac:dyDescent="0.25"/>
    <row r="102" ht="16.5" customHeight="1" x14ac:dyDescent="0.25"/>
    <row r="103" ht="16.5" customHeight="1" x14ac:dyDescent="0.25"/>
    <row r="104" ht="16.5" customHeight="1" x14ac:dyDescent="0.25"/>
    <row r="105" ht="16.5" customHeight="1" x14ac:dyDescent="0.25"/>
    <row r="106" ht="16.5" customHeight="1" x14ac:dyDescent="0.25"/>
    <row r="107" ht="16.5" customHeight="1" x14ac:dyDescent="0.25"/>
    <row r="108" ht="16.5" customHeight="1" x14ac:dyDescent="0.25"/>
    <row r="109" ht="16.5" customHeight="1" x14ac:dyDescent="0.25"/>
    <row r="110" ht="16.5" customHeight="1" x14ac:dyDescent="0.25"/>
    <row r="111" ht="16.5" customHeight="1" x14ac:dyDescent="0.25"/>
    <row r="112" ht="16.5" customHeight="1" x14ac:dyDescent="0.25"/>
    <row r="113" ht="16.5" customHeight="1" x14ac:dyDescent="0.25"/>
    <row r="114" ht="16.5" customHeight="1" x14ac:dyDescent="0.25"/>
    <row r="115" ht="16.5" customHeight="1" x14ac:dyDescent="0.25"/>
    <row r="116" ht="16.5" customHeight="1" x14ac:dyDescent="0.25"/>
    <row r="117" ht="16.5" customHeight="1" x14ac:dyDescent="0.25"/>
    <row r="118" ht="16.5" customHeight="1" x14ac:dyDescent="0.25"/>
    <row r="119" ht="16.5" customHeight="1" x14ac:dyDescent="0.25"/>
    <row r="120" ht="16.5" customHeight="1" x14ac:dyDescent="0.25"/>
    <row r="121" ht="16.5" customHeight="1" x14ac:dyDescent="0.25"/>
    <row r="122" ht="16.5" customHeight="1" x14ac:dyDescent="0.25"/>
    <row r="123" ht="16.5" customHeight="1" x14ac:dyDescent="0.25"/>
    <row r="124" ht="16.5" customHeight="1" x14ac:dyDescent="0.25"/>
    <row r="125" ht="16.5" customHeight="1" x14ac:dyDescent="0.25"/>
    <row r="126" ht="16.5" customHeight="1" x14ac:dyDescent="0.25"/>
    <row r="127" ht="16.5" customHeight="1" x14ac:dyDescent="0.25"/>
    <row r="128" ht="16.5" customHeight="1" x14ac:dyDescent="0.25"/>
    <row r="129" ht="16.5" customHeight="1" x14ac:dyDescent="0.25"/>
    <row r="130" ht="16.5" customHeight="1" x14ac:dyDescent="0.25"/>
    <row r="131" ht="16.5" customHeight="1" x14ac:dyDescent="0.25"/>
    <row r="132" ht="16.5" customHeight="1" x14ac:dyDescent="0.25"/>
    <row r="133" ht="16.5" customHeight="1" x14ac:dyDescent="0.25"/>
    <row r="134" ht="16.5" customHeight="1" x14ac:dyDescent="0.25"/>
    <row r="135" ht="16.5" customHeight="1" x14ac:dyDescent="0.25"/>
    <row r="136" ht="16.5" customHeight="1" x14ac:dyDescent="0.25"/>
    <row r="137" ht="16.5" customHeight="1" x14ac:dyDescent="0.25"/>
    <row r="138" ht="16.5" customHeight="1" x14ac:dyDescent="0.25"/>
    <row r="139" ht="16.5" customHeight="1" x14ac:dyDescent="0.25"/>
    <row r="140" ht="16.5" customHeight="1" x14ac:dyDescent="0.25"/>
    <row r="141" ht="16.5" customHeight="1" x14ac:dyDescent="0.25"/>
    <row r="142" ht="16.5" customHeight="1" x14ac:dyDescent="0.25"/>
    <row r="143" ht="16.5" customHeight="1" x14ac:dyDescent="0.25"/>
    <row r="144" ht="16.5" customHeight="1" x14ac:dyDescent="0.25"/>
    <row r="145" ht="16.5" customHeight="1" x14ac:dyDescent="0.25"/>
    <row r="146" ht="16.5" customHeight="1" x14ac:dyDescent="0.25"/>
    <row r="147" ht="16.5" customHeight="1" x14ac:dyDescent="0.25"/>
    <row r="148" ht="16.5" customHeight="1" x14ac:dyDescent="0.25"/>
    <row r="149" ht="16.5" customHeight="1" x14ac:dyDescent="0.25"/>
    <row r="150" ht="16.5" customHeight="1" x14ac:dyDescent="0.25"/>
    <row r="151" ht="16.5" customHeight="1" x14ac:dyDescent="0.25"/>
    <row r="152" ht="16.5" customHeight="1" x14ac:dyDescent="0.25"/>
    <row r="153" ht="16.5" customHeight="1" x14ac:dyDescent="0.25"/>
    <row r="154" ht="16.5" customHeight="1" x14ac:dyDescent="0.25"/>
    <row r="155" ht="16.5" customHeight="1" x14ac:dyDescent="0.25"/>
    <row r="156" ht="16.5" customHeight="1" x14ac:dyDescent="0.25"/>
    <row r="157" ht="16.5" customHeight="1" x14ac:dyDescent="0.25"/>
    <row r="158" ht="16.5" customHeight="1" x14ac:dyDescent="0.25"/>
    <row r="159" ht="16.5" customHeight="1" x14ac:dyDescent="0.25"/>
    <row r="160" ht="16.5" customHeight="1" x14ac:dyDescent="0.25"/>
    <row r="161" ht="16.5" customHeight="1" x14ac:dyDescent="0.25"/>
    <row r="162" ht="16.5" customHeight="1" x14ac:dyDescent="0.25"/>
    <row r="163" ht="16.5" customHeight="1" x14ac:dyDescent="0.25"/>
    <row r="164" ht="16.5" customHeight="1" x14ac:dyDescent="0.25"/>
    <row r="165" ht="16.5" customHeight="1" x14ac:dyDescent="0.25"/>
    <row r="166" ht="16.5" customHeight="1" x14ac:dyDescent="0.25"/>
    <row r="167" ht="16.5" customHeight="1" x14ac:dyDescent="0.25"/>
    <row r="168" ht="16.5" customHeight="1" x14ac:dyDescent="0.25"/>
    <row r="169" ht="16.5" customHeight="1" x14ac:dyDescent="0.25"/>
    <row r="170" ht="16.5" customHeight="1" x14ac:dyDescent="0.25"/>
    <row r="171" ht="16.5" customHeight="1" x14ac:dyDescent="0.25"/>
    <row r="172" ht="16.5" customHeight="1" x14ac:dyDescent="0.25"/>
    <row r="173" ht="16.5" customHeight="1" x14ac:dyDescent="0.25"/>
    <row r="174" ht="16.5" customHeight="1" x14ac:dyDescent="0.25"/>
    <row r="175" ht="16.5" customHeight="1" x14ac:dyDescent="0.25"/>
    <row r="176" ht="16.5" customHeight="1" x14ac:dyDescent="0.25"/>
    <row r="177" ht="16.5" customHeight="1" x14ac:dyDescent="0.25"/>
    <row r="178" ht="16.5" customHeight="1" x14ac:dyDescent="0.25"/>
    <row r="179" ht="16.5" customHeight="1" x14ac:dyDescent="0.25"/>
    <row r="180" ht="16.5" customHeight="1" x14ac:dyDescent="0.25"/>
    <row r="181" ht="16.5" customHeight="1" x14ac:dyDescent="0.25"/>
    <row r="182" ht="16.5" customHeight="1" x14ac:dyDescent="0.25"/>
    <row r="183" ht="16.5" customHeight="1" x14ac:dyDescent="0.25"/>
    <row r="184" ht="16.5" customHeight="1" x14ac:dyDescent="0.25"/>
    <row r="185" ht="16.5" customHeight="1" x14ac:dyDescent="0.25"/>
    <row r="186" ht="16.5" customHeight="1" x14ac:dyDescent="0.25"/>
    <row r="187" ht="16.5" customHeight="1" x14ac:dyDescent="0.25"/>
    <row r="188" ht="16.5" customHeight="1" x14ac:dyDescent="0.25"/>
    <row r="189" ht="16.5" customHeight="1" x14ac:dyDescent="0.25"/>
    <row r="190" ht="16.5" customHeight="1" x14ac:dyDescent="0.25"/>
    <row r="191" ht="16.5" customHeight="1" x14ac:dyDescent="0.25"/>
    <row r="192" ht="16.5" customHeight="1" x14ac:dyDescent="0.25"/>
    <row r="193" ht="16.5" customHeight="1" x14ac:dyDescent="0.25"/>
    <row r="194" ht="16.5" customHeight="1" x14ac:dyDescent="0.25"/>
    <row r="195" ht="16.5" customHeight="1" x14ac:dyDescent="0.25"/>
    <row r="196" ht="16.5" customHeight="1" x14ac:dyDescent="0.25"/>
    <row r="197" ht="16.5" customHeight="1" x14ac:dyDescent="0.25"/>
    <row r="198" ht="16.5" customHeight="1" x14ac:dyDescent="0.25"/>
    <row r="199" ht="16.5" customHeight="1" x14ac:dyDescent="0.25"/>
    <row r="200" ht="16.5" customHeight="1" x14ac:dyDescent="0.25"/>
    <row r="201" ht="16.5" customHeight="1" x14ac:dyDescent="0.25"/>
    <row r="202" ht="16.5" customHeight="1" x14ac:dyDescent="0.25"/>
    <row r="203" ht="16.5" customHeight="1" x14ac:dyDescent="0.25"/>
    <row r="204" ht="16.5" customHeight="1" x14ac:dyDescent="0.25"/>
    <row r="205" ht="16.5" customHeight="1" x14ac:dyDescent="0.25"/>
    <row r="206" ht="16.5" customHeight="1" x14ac:dyDescent="0.25"/>
    <row r="207" ht="16.5" customHeight="1" x14ac:dyDescent="0.25"/>
    <row r="208" ht="16.5" customHeight="1" x14ac:dyDescent="0.25"/>
    <row r="209" ht="16.5" customHeight="1" x14ac:dyDescent="0.25"/>
    <row r="210" ht="16.5" customHeight="1" x14ac:dyDescent="0.25"/>
    <row r="211" ht="16.5" customHeight="1" x14ac:dyDescent="0.25"/>
    <row r="212" ht="16.5" customHeight="1" x14ac:dyDescent="0.25"/>
    <row r="213" ht="16.5" customHeight="1" x14ac:dyDescent="0.25"/>
    <row r="214" ht="16.5" customHeight="1" x14ac:dyDescent="0.25"/>
    <row r="215" ht="16.5" customHeight="1" x14ac:dyDescent="0.25"/>
    <row r="216" ht="16.5" customHeight="1" x14ac:dyDescent="0.25"/>
    <row r="217" ht="16.5" customHeight="1" x14ac:dyDescent="0.25"/>
    <row r="218" ht="16.5" customHeight="1" x14ac:dyDescent="0.25"/>
    <row r="219" ht="16.5" customHeight="1" x14ac:dyDescent="0.25"/>
    <row r="220" ht="16.5" customHeight="1" x14ac:dyDescent="0.25"/>
    <row r="221" ht="16.5" customHeight="1" x14ac:dyDescent="0.25"/>
    <row r="222" ht="16.5" customHeight="1" x14ac:dyDescent="0.25"/>
    <row r="223" ht="16.5" customHeight="1" x14ac:dyDescent="0.25"/>
    <row r="224" ht="16.5" customHeight="1" x14ac:dyDescent="0.25"/>
    <row r="225" ht="16.5" customHeight="1" x14ac:dyDescent="0.25"/>
    <row r="226" ht="16.5" customHeight="1" x14ac:dyDescent="0.25"/>
    <row r="227" ht="16.5" customHeight="1" x14ac:dyDescent="0.25"/>
    <row r="228" ht="16.5" customHeight="1" x14ac:dyDescent="0.25"/>
    <row r="229" ht="16.5" customHeight="1" x14ac:dyDescent="0.25"/>
    <row r="230" ht="16.5" customHeight="1" x14ac:dyDescent="0.25"/>
    <row r="231" ht="16.5" customHeight="1" x14ac:dyDescent="0.25"/>
    <row r="232" ht="16.5" customHeight="1" x14ac:dyDescent="0.25"/>
    <row r="233" ht="16.5" customHeight="1" x14ac:dyDescent="0.25"/>
    <row r="234" ht="16.5" customHeight="1" x14ac:dyDescent="0.25"/>
    <row r="235" ht="16.5" customHeight="1" x14ac:dyDescent="0.25"/>
    <row r="236" ht="16.5" customHeight="1" x14ac:dyDescent="0.25"/>
    <row r="237" ht="16.5" customHeight="1" x14ac:dyDescent="0.25"/>
    <row r="238" ht="16.5" customHeight="1" x14ac:dyDescent="0.25"/>
    <row r="239" ht="16.5" customHeight="1" x14ac:dyDescent="0.25"/>
    <row r="240" ht="16.5" customHeight="1" x14ac:dyDescent="0.25"/>
    <row r="241" ht="16.5" customHeight="1" x14ac:dyDescent="0.25"/>
    <row r="242" ht="16.5" customHeight="1" x14ac:dyDescent="0.25"/>
    <row r="243" ht="16.5" customHeight="1" x14ac:dyDescent="0.25"/>
    <row r="244" ht="16.5" customHeight="1" x14ac:dyDescent="0.25"/>
    <row r="245" ht="16.5" customHeight="1" x14ac:dyDescent="0.25"/>
    <row r="246" ht="16.5" customHeight="1" x14ac:dyDescent="0.25"/>
    <row r="247" ht="16.5" customHeight="1" x14ac:dyDescent="0.25"/>
    <row r="248" ht="16.5" customHeight="1" x14ac:dyDescent="0.25"/>
    <row r="249" ht="16.5" customHeight="1" x14ac:dyDescent="0.25"/>
    <row r="250" ht="16.5" customHeight="1" x14ac:dyDescent="0.25"/>
    <row r="251" ht="16.5" customHeight="1" x14ac:dyDescent="0.25"/>
    <row r="252" ht="16.5" customHeight="1" x14ac:dyDescent="0.25"/>
    <row r="253" ht="16.5" customHeight="1" x14ac:dyDescent="0.25"/>
    <row r="254" ht="16.5" customHeight="1" x14ac:dyDescent="0.25"/>
    <row r="255" ht="16.5" customHeight="1" x14ac:dyDescent="0.25"/>
    <row r="256" ht="16.5" customHeight="1" x14ac:dyDescent="0.25"/>
    <row r="257" ht="16.5" customHeight="1" x14ac:dyDescent="0.25"/>
    <row r="258" ht="16.5" customHeight="1" x14ac:dyDescent="0.25"/>
    <row r="259" ht="16.5" customHeight="1" x14ac:dyDescent="0.25"/>
    <row r="260" ht="16.5" customHeight="1" x14ac:dyDescent="0.25"/>
    <row r="261" ht="16.5" customHeight="1" x14ac:dyDescent="0.25"/>
    <row r="262" ht="16.5" customHeight="1" x14ac:dyDescent="0.25"/>
    <row r="263" ht="16.5" customHeight="1" x14ac:dyDescent="0.25"/>
    <row r="264" ht="16.5" customHeight="1" x14ac:dyDescent="0.25"/>
  </sheetData>
  <sheetProtection formatCells="0" formatColumns="0" formatRows="0" insertColumns="0" insertRows="0" insertHyperlinks="0" deleteColumns="0" deleteRows="0" sort="0" autoFilter="0" pivotTables="0"/>
  <mergeCells count="1">
    <mergeCell ref="AI5:AM5"/>
  </mergeCells>
  <conditionalFormatting sqref="D7:AF11">
    <cfRule type="expression" dxfId="42" priority="4" stopIfTrue="1">
      <formula>D7=Código2</formula>
    </cfRule>
    <cfRule type="expression" dxfId="41" priority="5" stopIfTrue="1">
      <formula>D7=Código5</formula>
    </cfRule>
    <cfRule type="expression" dxfId="40" priority="6" stopIfTrue="1">
      <formula>D7=Código4</formula>
    </cfRule>
    <cfRule type="expression" dxfId="39" priority="7" stopIfTrue="1">
      <formula>D7=Código3</formula>
    </cfRule>
    <cfRule type="expression" dxfId="38" priority="8" stopIfTrue="1">
      <formula>D7=Código1</formula>
    </cfRule>
  </conditionalFormatting>
  <conditionalFormatting sqref="AM7:AM11">
    <cfRule type="dataBar" priority="3">
      <dataBar>
        <cfvo type="min"/>
        <cfvo type="num" val="DATEDIF(DATE(AnoCalendário,2,1),DATE(AnoCalendário,3,1),&quot;d&quot;)"/>
        <color theme="4"/>
      </dataBar>
      <extLst>
        <ext xmlns:x14="http://schemas.microsoft.com/office/spreadsheetml/2009/9/main" uri="{B025F937-C7B1-47D3-B67F-A62EFF666E3E}">
          <x14:id>{14404821-1BA2-401A-A36D-E7C5CA142FF7}</x14:id>
        </ext>
      </extLst>
    </cfRule>
  </conditionalFormatting>
  <dataValidations count="1">
    <dataValidation type="list" errorStyle="warning" allowBlank="1" showInputMessage="1" showErrorMessage="1" errorTitle="Ops!" error="A ID de Aluno que você inseriu não está na planilha Lista de Alunos. Você pode clicar em Sim para usar a ID de Aluno inserida, mas ela não estará disponível na planilha Relatório de Presença dos Alunos." sqref="B7:B11" xr:uid="{00000000-0002-0000-0800-000000000000}">
      <formula1>IDAluno</formula1>
    </dataValidation>
  </dataValidations>
  <printOptions horizontalCentered="1"/>
  <pageMargins left="0.5" right="0.5" top="0.75" bottom="0.75" header="0.3" footer="0.3"/>
  <pageSetup paperSize="9" scale="59" fitToHeight="0" orientation="landscape" verticalDpi="1200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4404821-1BA2-401A-A36D-E7C5CA142FF7}">
            <x14:dataBar minLength="0" maxLength="100" border="1" negativeBarBorderColorSameAsPositive="0">
              <x14:cfvo type="autoMin"/>
              <x14:cfvo type="num">
                <xm:f>DATEDIF(DATE(AnoCalendário,2,1),DATE(AnoCalendário,3,1),"d")</xm:f>
              </x14:cfvo>
              <x14:borderColor theme="4"/>
              <x14:negativeFillColor rgb="FFFF0000"/>
              <x14:negativeBorderColor rgb="FFFF0000"/>
              <x14:axisColor rgb="FF000000"/>
            </x14:dataBar>
          </x14:cfRule>
          <xm:sqref>AM7:AM11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499984740745262"/>
    <pageSetUpPr fitToPage="1"/>
  </sheetPr>
  <dimension ref="A1:AM264"/>
  <sheetViews>
    <sheetView showGridLines="0" zoomScaleNormal="100" workbookViewId="0">
      <pane xSplit="3" ySplit="6" topLeftCell="D7" activePane="bottomRight" state="frozen"/>
      <selection activeCell="Y16" sqref="Y16"/>
      <selection pane="topRight" activeCell="Y16" sqref="Y16"/>
      <selection pane="bottomLeft" activeCell="Y16" sqref="Y16"/>
      <selection pane="bottomRight" activeCell="AK7" sqref="AK7"/>
    </sheetView>
  </sheetViews>
  <sheetFormatPr defaultColWidth="9.109375" defaultRowHeight="15" customHeight="1" x14ac:dyDescent="0.25"/>
  <cols>
    <col min="1" max="1" width="2.6640625" style="8" customWidth="1"/>
    <col min="2" max="2" width="11.88671875" style="8" bestFit="1" customWidth="1"/>
    <col min="3" max="3" width="28.88671875" style="9" customWidth="1"/>
    <col min="4" max="34" width="5" style="7" customWidth="1"/>
    <col min="35" max="35" width="4.6640625" style="6" customWidth="1"/>
    <col min="36" max="36" width="4.6640625" style="7" customWidth="1"/>
    <col min="37" max="38" width="4.6640625" style="8" customWidth="1"/>
    <col min="39" max="39" width="19.5546875" style="8" bestFit="1" customWidth="1"/>
    <col min="40" max="16384" width="9.109375" style="8"/>
  </cols>
  <sheetData>
    <row r="1" spans="1:39" s="1" customFormat="1" ht="42" customHeight="1" x14ac:dyDescent="0.25">
      <c r="A1" s="21" t="s">
        <v>88</v>
      </c>
      <c r="B1" s="22"/>
      <c r="C1" s="22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2"/>
      <c r="AD1" s="22"/>
      <c r="AE1" s="22"/>
      <c r="AF1" s="22"/>
      <c r="AG1" s="24"/>
      <c r="AH1" s="22"/>
      <c r="AI1" s="22"/>
      <c r="AJ1" s="25"/>
      <c r="AK1" s="22"/>
      <c r="AL1" s="34" t="s">
        <v>72</v>
      </c>
      <c r="AM1" s="35">
        <f>AnoCalendário</f>
        <v>2016</v>
      </c>
    </row>
    <row r="2" spans="1:39" customFormat="1" ht="13.2" x14ac:dyDescent="0.25"/>
    <row r="3" spans="1:39" s="17" customFormat="1" ht="12.75" customHeight="1" x14ac:dyDescent="0.25">
      <c r="C3" s="27" t="str">
        <f>TextodaChavedeCor</f>
        <v xml:space="preserve">CHAVE COLORIDA </v>
      </c>
      <c r="D3" s="28" t="str">
        <f>Código1</f>
        <v>T</v>
      </c>
      <c r="E3" s="41" t="str">
        <f>TextodeCódigo1</f>
        <v>Atrasado</v>
      </c>
      <c r="F3" s="33"/>
      <c r="H3" s="29" t="str">
        <f>Código2</f>
        <v>E</v>
      </c>
      <c r="I3" s="33" t="str">
        <f>TextodeCódigo2</f>
        <v>Dispensado</v>
      </c>
      <c r="L3" s="30" t="str">
        <f>Código3</f>
        <v>F</v>
      </c>
      <c r="M3" s="33" t="str">
        <f>TextodeCódigo3</f>
        <v>faltou a aula</v>
      </c>
      <c r="P3" s="31" t="str">
        <f>Código4</f>
        <v>P</v>
      </c>
      <c r="Q3" s="33" t="str">
        <f>TextodeCódigo4</f>
        <v>Presente</v>
      </c>
      <c r="T3" s="32" t="str">
        <f>Código5</f>
        <v>N</v>
      </c>
      <c r="U3" s="33" t="str">
        <f>TextodeCódigo5</f>
        <v>Sem Aula</v>
      </c>
      <c r="W3"/>
      <c r="X3"/>
      <c r="Y3"/>
      <c r="AD3" s="16"/>
      <c r="AE3" s="16"/>
      <c r="AH3" s="18"/>
      <c r="AI3" s="19"/>
      <c r="AK3" s="20"/>
    </row>
    <row r="4" spans="1:39" customFormat="1" ht="16.5" customHeight="1" x14ac:dyDescent="0.25"/>
    <row r="5" spans="1:39" s="2" customFormat="1" ht="18" customHeight="1" thickBot="1" x14ac:dyDescent="0.35">
      <c r="B5" s="79">
        <f>DATE(AnoCalendário+1,2,1)</f>
        <v>42767</v>
      </c>
      <c r="C5" s="80"/>
      <c r="D5" s="81" t="str">
        <f>TEXT(WEEKDAY(DATE(AnoCalendário+1,2,1),1),"ddd")</f>
        <v>qua</v>
      </c>
      <c r="E5" s="81" t="str">
        <f>TEXT(WEEKDAY(DATE(AnoCalendário+1,2,2),1),"ddd")</f>
        <v>qui</v>
      </c>
      <c r="F5" s="81" t="str">
        <f>TEXT(WEEKDAY(DATE(AnoCalendário+1,2,3),1),"ddd")</f>
        <v>sex</v>
      </c>
      <c r="G5" s="81" t="str">
        <f>TEXT(WEEKDAY(DATE(AnoCalendário+1,2,4),1),"ddd")</f>
        <v>sáb</v>
      </c>
      <c r="H5" s="81" t="str">
        <f>TEXT(WEEKDAY(DATE(AnoCalendário+1,2,5),1),"ddd")</f>
        <v>dom</v>
      </c>
      <c r="I5" s="81" t="str">
        <f>TEXT(WEEKDAY(DATE(AnoCalendário+1,2,6),1),"ddd")</f>
        <v>seg</v>
      </c>
      <c r="J5" s="81" t="str">
        <f>TEXT(WEEKDAY(DATE(AnoCalendário+1,2,7),1),"ddd")</f>
        <v>ter</v>
      </c>
      <c r="K5" s="81" t="str">
        <f>TEXT(WEEKDAY(DATE(AnoCalendário+1,2,8),1),"ddd")</f>
        <v>qua</v>
      </c>
      <c r="L5" s="81" t="str">
        <f>TEXT(WEEKDAY(DATE(AnoCalendário+1,2,9),1),"ddd")</f>
        <v>qui</v>
      </c>
      <c r="M5" s="81" t="str">
        <f>TEXT(WEEKDAY(DATE(AnoCalendário+1,2,10),1),"ddd")</f>
        <v>sex</v>
      </c>
      <c r="N5" s="81" t="str">
        <f>TEXT(WEEKDAY(DATE(AnoCalendário+1,2,11),1),"ddd")</f>
        <v>sáb</v>
      </c>
      <c r="O5" s="81" t="str">
        <f>TEXT(WEEKDAY(DATE(AnoCalendário+1,2,12),1),"ddd")</f>
        <v>dom</v>
      </c>
      <c r="P5" s="81" t="str">
        <f>TEXT(WEEKDAY(DATE(AnoCalendário+1,2,13),1),"ddd")</f>
        <v>seg</v>
      </c>
      <c r="Q5" s="81" t="str">
        <f>TEXT(WEEKDAY(DATE(AnoCalendário+1,2,14),1),"ddd")</f>
        <v>ter</v>
      </c>
      <c r="R5" s="81" t="str">
        <f>TEXT(WEEKDAY(DATE(AnoCalendário+1,2,15),1),"ddd")</f>
        <v>qua</v>
      </c>
      <c r="S5" s="81" t="str">
        <f>TEXT(WEEKDAY(DATE(AnoCalendário+1,2,16),1),"ddd")</f>
        <v>qui</v>
      </c>
      <c r="T5" s="81" t="str">
        <f>TEXT(WEEKDAY(DATE(AnoCalendário+1,2,17),1),"ddd")</f>
        <v>sex</v>
      </c>
      <c r="U5" s="81" t="str">
        <f>TEXT(WEEKDAY(DATE(AnoCalendário+1,2,18),1),"ddd")</f>
        <v>sáb</v>
      </c>
      <c r="V5" s="81" t="str">
        <f>TEXT(WEEKDAY(DATE(AnoCalendário+1,2,19),1),"ddd")</f>
        <v>dom</v>
      </c>
      <c r="W5" s="81" t="str">
        <f>TEXT(WEEKDAY(DATE(AnoCalendário+1,2,20),1),"ddd")</f>
        <v>seg</v>
      </c>
      <c r="X5" s="81" t="str">
        <f>TEXT(WEEKDAY(DATE(AnoCalendário+1,2,21),1),"ddd")</f>
        <v>ter</v>
      </c>
      <c r="Y5" s="81" t="str">
        <f>TEXT(WEEKDAY(DATE(AnoCalendário+1,2,22),1),"ddd")</f>
        <v>qua</v>
      </c>
      <c r="Z5" s="81" t="str">
        <f>TEXT(WEEKDAY(DATE(AnoCalendário+1,2,23),1),"ddd")</f>
        <v>qui</v>
      </c>
      <c r="AA5" s="81" t="str">
        <f>TEXT(WEEKDAY(DATE(AnoCalendário+1,2,24),1),"ddd")</f>
        <v>sex</v>
      </c>
      <c r="AB5" s="81" t="str">
        <f>TEXT(WEEKDAY(DATE(AnoCalendário+1,2,25),1),"ddd")</f>
        <v>sáb</v>
      </c>
      <c r="AC5" s="81" t="str">
        <f>TEXT(WEEKDAY(DATE(AnoCalendário+1,2,26),1),"ddd")</f>
        <v>dom</v>
      </c>
      <c r="AD5" s="81" t="str">
        <f>TEXT(WEEKDAY(DATE(AnoCalendário+1,2,27),1),"ddd")</f>
        <v>seg</v>
      </c>
      <c r="AE5" s="81" t="str">
        <f>TEXT(WEEKDAY(DATE(AnoCalendário+1,2,28),1),"ddd")</f>
        <v>ter</v>
      </c>
      <c r="AF5" s="81" t="str">
        <f>TEXT(WEEKDAY(DATE(AnoCalendário+1,2,29),1),"ddd")</f>
        <v>qua</v>
      </c>
      <c r="AG5" s="81"/>
      <c r="AH5" s="81"/>
      <c r="AI5" s="108" t="s">
        <v>41</v>
      </c>
      <c r="AJ5" s="108"/>
      <c r="AK5" s="108"/>
      <c r="AL5" s="108"/>
      <c r="AM5" s="108"/>
    </row>
    <row r="6" spans="1:39" ht="14.25" customHeight="1" thickTop="1" thickBot="1" x14ac:dyDescent="0.3">
      <c r="B6" s="82" t="s">
        <v>34</v>
      </c>
      <c r="C6" s="83" t="s">
        <v>36</v>
      </c>
      <c r="D6" s="84" t="s">
        <v>0</v>
      </c>
      <c r="E6" s="84" t="s">
        <v>1</v>
      </c>
      <c r="F6" s="84" t="s">
        <v>2</v>
      </c>
      <c r="G6" s="84" t="s">
        <v>3</v>
      </c>
      <c r="H6" s="84" t="s">
        <v>4</v>
      </c>
      <c r="I6" s="84" t="s">
        <v>5</v>
      </c>
      <c r="J6" s="84" t="s">
        <v>6</v>
      </c>
      <c r="K6" s="84" t="s">
        <v>7</v>
      </c>
      <c r="L6" s="84" t="s">
        <v>8</v>
      </c>
      <c r="M6" s="84" t="s">
        <v>9</v>
      </c>
      <c r="N6" s="84" t="s">
        <v>10</v>
      </c>
      <c r="O6" s="84" t="s">
        <v>11</v>
      </c>
      <c r="P6" s="84" t="s">
        <v>12</v>
      </c>
      <c r="Q6" s="84" t="s">
        <v>13</v>
      </c>
      <c r="R6" s="84" t="s">
        <v>14</v>
      </c>
      <c r="S6" s="84" t="s">
        <v>15</v>
      </c>
      <c r="T6" s="84" t="s">
        <v>16</v>
      </c>
      <c r="U6" s="84" t="s">
        <v>17</v>
      </c>
      <c r="V6" s="84" t="s">
        <v>18</v>
      </c>
      <c r="W6" s="84" t="s">
        <v>19</v>
      </c>
      <c r="X6" s="84" t="s">
        <v>20</v>
      </c>
      <c r="Y6" s="84" t="s">
        <v>21</v>
      </c>
      <c r="Z6" s="84" t="s">
        <v>22</v>
      </c>
      <c r="AA6" s="84" t="s">
        <v>23</v>
      </c>
      <c r="AB6" s="84" t="s">
        <v>24</v>
      </c>
      <c r="AC6" s="84" t="s">
        <v>25</v>
      </c>
      <c r="AD6" s="84" t="s">
        <v>26</v>
      </c>
      <c r="AE6" s="84" t="s">
        <v>27</v>
      </c>
      <c r="AF6" s="84" t="s">
        <v>28</v>
      </c>
      <c r="AG6" s="84" t="s">
        <v>29</v>
      </c>
      <c r="AH6" s="84" t="s">
        <v>30</v>
      </c>
      <c r="AI6" s="95" t="s">
        <v>37</v>
      </c>
      <c r="AJ6" s="86" t="s">
        <v>39</v>
      </c>
      <c r="AK6" s="87" t="s">
        <v>132</v>
      </c>
      <c r="AL6" s="88" t="s">
        <v>31</v>
      </c>
      <c r="AM6" s="91" t="s">
        <v>40</v>
      </c>
    </row>
    <row r="7" spans="1:39" ht="16.5" customHeight="1" thickTop="1" thickBot="1" x14ac:dyDescent="0.3">
      <c r="B7" s="96" t="s">
        <v>89</v>
      </c>
      <c r="C7" s="97" t="str">
        <f>IFERROR(VLOOKUP(PresençaemFevereiro[[#This Row],[ID do Aluno]],ListadeAlunos[],18,FALSE),"")</f>
        <v>Manuel Oliveira</v>
      </c>
      <c r="D7" s="98" t="s">
        <v>137</v>
      </c>
      <c r="E7" s="98" t="s">
        <v>137</v>
      </c>
      <c r="F7" s="98" t="s">
        <v>134</v>
      </c>
      <c r="G7" s="98"/>
      <c r="H7" s="98"/>
      <c r="I7" s="98" t="s">
        <v>132</v>
      </c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9"/>
      <c r="AG7" s="84"/>
      <c r="AH7" s="84"/>
      <c r="AI7" s="100">
        <f>COUNTIF(PresençaemFevereiro[[#This Row],[1]:[31]],Código1)</f>
        <v>0</v>
      </c>
      <c r="AJ7" s="100">
        <f>COUNTIF(PresençaemFevereiro[[#This Row],[1]:[31]],Código2)</f>
        <v>0</v>
      </c>
      <c r="AK7" s="100">
        <f>COUNTIF(PresençaemFevereiro[[#This Row],[1]:[31]],Código3)</f>
        <v>2</v>
      </c>
      <c r="AL7" s="100">
        <f>COUNTIF(PresençaemFevereiro[[#This Row],[1]:[31]],Código4)</f>
        <v>2</v>
      </c>
      <c r="AM7" s="93">
        <f>SUM(PresençaemFevereiro[[#This Row],[E]:[F]])</f>
        <v>2</v>
      </c>
    </row>
    <row r="8" spans="1:39" ht="16.5" customHeight="1" thickTop="1" thickBot="1" x14ac:dyDescent="0.3">
      <c r="B8" s="96" t="s">
        <v>91</v>
      </c>
      <c r="C8" s="101" t="str">
        <f>IFERROR(VLOOKUP(PresençaemFevereiro[[#This Row],[ID do Aluno]],ListadeAlunos[],18,FALSE),"")</f>
        <v>Francisco  Alcilandio</v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9"/>
      <c r="AG8" s="84"/>
      <c r="AH8" s="84"/>
      <c r="AI8" s="100">
        <f>COUNTIF(PresençaemFevereiro[[#This Row],[1]:[31]],Código1)</f>
        <v>0</v>
      </c>
      <c r="AJ8" s="100">
        <f>COUNTIF(PresençaemFevereiro[[#This Row],[1]:[31]],Código2)</f>
        <v>0</v>
      </c>
      <c r="AK8" s="100">
        <f>COUNTIF(PresençaemFevereiro[[#This Row],[1]:[31]],Código3)</f>
        <v>0</v>
      </c>
      <c r="AL8" s="100">
        <f>COUNTIF(PresençaemFevereiro[[#This Row],[1]:[31]],Código4)</f>
        <v>0</v>
      </c>
      <c r="AM8" s="93">
        <f>SUM(PresençaemFevereiro[[#This Row],[E]:[F]])</f>
        <v>0</v>
      </c>
    </row>
    <row r="9" spans="1:39" ht="16.5" customHeight="1" thickTop="1" thickBot="1" x14ac:dyDescent="0.3">
      <c r="B9" s="96" t="s">
        <v>92</v>
      </c>
      <c r="C9" s="101" t="str">
        <f>IFERROR(VLOOKUP(PresençaemFevereiro[[#This Row],[ID do Aluno]],ListadeAlunos[],18,FALSE),"")</f>
        <v>antonio Pereira</v>
      </c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9"/>
      <c r="AG9" s="84"/>
      <c r="AH9" s="84"/>
      <c r="AI9" s="100">
        <f>COUNTIF(PresençaemFevereiro[[#This Row],[1]:[31]],Código1)</f>
        <v>0</v>
      </c>
      <c r="AJ9" s="100">
        <f>COUNTIF(PresençaemFevereiro[[#This Row],[1]:[31]],Código2)</f>
        <v>0</v>
      </c>
      <c r="AK9" s="100">
        <f>COUNTIF(PresençaemFevereiro[[#This Row],[1]:[31]],Código3)</f>
        <v>0</v>
      </c>
      <c r="AL9" s="100">
        <f>COUNTIF(PresençaemFevereiro[[#This Row],[1]:[31]],Código4)</f>
        <v>0</v>
      </c>
      <c r="AM9" s="93">
        <f>SUM(PresençaemFevereiro[[#This Row],[E]:[F]])</f>
        <v>0</v>
      </c>
    </row>
    <row r="10" spans="1:39" ht="16.5" customHeight="1" thickTop="1" thickBot="1" x14ac:dyDescent="0.3">
      <c r="B10" s="96"/>
      <c r="C10" s="101" t="str">
        <f>IFERROR(VLOOKUP(PresençaemFevereiro[[#This Row],[ID do Aluno]],ListadeAlunos[],18,FALSE),"")</f>
        <v/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9"/>
      <c r="AG10" s="84"/>
      <c r="AH10" s="84"/>
      <c r="AI10" s="100">
        <f>COUNTIF(PresençaemFevereiro[[#This Row],[1]:[31]],Código1)</f>
        <v>0</v>
      </c>
      <c r="AJ10" s="100">
        <f>COUNTIF(PresençaemFevereiro[[#This Row],[1]:[31]],Código2)</f>
        <v>0</v>
      </c>
      <c r="AK10" s="100">
        <f>COUNTIF(PresençaemFevereiro[[#This Row],[1]:[31]],Código3)</f>
        <v>0</v>
      </c>
      <c r="AL10" s="100">
        <f>COUNTIF(PresençaemFevereiro[[#This Row],[1]:[31]],Código4)</f>
        <v>0</v>
      </c>
      <c r="AM10" s="93">
        <f>SUM(PresençaemFevereiro[[#This Row],[E]:[F]])</f>
        <v>0</v>
      </c>
    </row>
    <row r="11" spans="1:39" ht="16.5" customHeight="1" thickTop="1" thickBot="1" x14ac:dyDescent="0.3">
      <c r="B11" s="96"/>
      <c r="C11" s="101" t="str">
        <f>IFERROR(VLOOKUP(PresençaemFevereiro[[#This Row],[ID do Aluno]],ListadeAlunos[],18,FALSE),"")</f>
        <v/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9"/>
      <c r="AG11" s="84"/>
      <c r="AH11" s="84"/>
      <c r="AI11" s="100">
        <f>COUNTIF(PresençaemFevereiro[[#This Row],[1]:[31]],Código1)</f>
        <v>0</v>
      </c>
      <c r="AJ11" s="100">
        <f>COUNTIF(PresençaemFevereiro[[#This Row],[1]:[31]],Código2)</f>
        <v>0</v>
      </c>
      <c r="AK11" s="100">
        <f>COUNTIF(PresençaemFevereiro[[#This Row],[1]:[31]],Código3)</f>
        <v>0</v>
      </c>
      <c r="AL11" s="100">
        <f>COUNTIF(PresençaemFevereiro[[#This Row],[1]:[31]],Código4)</f>
        <v>0</v>
      </c>
      <c r="AM11" s="93">
        <f>SUM(PresençaemFevereiro[[#This Row],[E]:[F]])</f>
        <v>0</v>
      </c>
    </row>
    <row r="12" spans="1:39" ht="16.5" customHeight="1" thickTop="1" thickBot="1" x14ac:dyDescent="0.3">
      <c r="B12" s="84"/>
      <c r="C12" s="89" t="s">
        <v>114</v>
      </c>
      <c r="D12" s="93">
        <f>COUNTIF(PresençaemFevereiro[1],"U")+COUNTIF(PresençaemFevereiro[1],"E")</f>
        <v>0</v>
      </c>
      <c r="E12" s="93">
        <f>COUNTIF(PresençaemFevereiro[2],"U")+COUNTIF(PresençaemFevereiro[2],"E")</f>
        <v>0</v>
      </c>
      <c r="F12" s="93">
        <f>COUNTIF(PresençaemFevereiro[3],"U")+COUNTIF(PresençaemFevereiro[3],"E")</f>
        <v>0</v>
      </c>
      <c r="G12" s="93">
        <f>COUNTIF(PresençaemFevereiro[4],"U")+COUNTIF(PresençaemFevereiro[4],"E")</f>
        <v>0</v>
      </c>
      <c r="H12" s="93">
        <f>COUNTIF(PresençaemFevereiro[5],"U")+COUNTIF(PresençaemFevereiro[5],"E")</f>
        <v>0</v>
      </c>
      <c r="I12" s="93">
        <f>COUNTIF(PresençaemFevereiro[6],"U")+COUNTIF(PresençaemFevereiro[6],"E")</f>
        <v>0</v>
      </c>
      <c r="J12" s="93">
        <f>COUNTIF(PresençaemFevereiro[7],"U")+COUNTIF(PresençaemFevereiro[7],"E")</f>
        <v>0</v>
      </c>
      <c r="K12" s="93">
        <f>COUNTIF(PresençaemFevereiro[8],"U")+COUNTIF(PresençaemFevereiro[8],"E")</f>
        <v>0</v>
      </c>
      <c r="L12" s="93">
        <f>COUNTIF(PresençaemFevereiro[9],"U")+COUNTIF(PresençaemFevereiro[9],"E")</f>
        <v>0</v>
      </c>
      <c r="M12" s="93">
        <f>COUNTIF(PresençaemFevereiro[10],"U")+COUNTIF(PresençaemFevereiro[10],"E")</f>
        <v>0</v>
      </c>
      <c r="N12" s="93">
        <f>COUNTIF(PresençaemFevereiro[11],"U")+COUNTIF(PresençaemFevereiro[11],"E")</f>
        <v>0</v>
      </c>
      <c r="O12" s="93">
        <f>COUNTIF(PresençaemFevereiro[12],"U")+COUNTIF(PresençaemFevereiro[12],"E")</f>
        <v>0</v>
      </c>
      <c r="P12" s="93">
        <f>COUNTIF(PresençaemFevereiro[13],"U")+COUNTIF(PresençaemFevereiro[13],"E")</f>
        <v>0</v>
      </c>
      <c r="Q12" s="93">
        <f>COUNTIF(PresençaemFevereiro[14],"U")+COUNTIF(PresençaemFevereiro[14],"E")</f>
        <v>0</v>
      </c>
      <c r="R12" s="93">
        <f>COUNTIF(PresençaemFevereiro[15],"U")+COUNTIF(PresençaemFevereiro[15],"E")</f>
        <v>0</v>
      </c>
      <c r="S12" s="93">
        <f>COUNTIF(PresençaemFevereiro[16],"U")+COUNTIF(PresençaemFevereiro[16],"E")</f>
        <v>0</v>
      </c>
      <c r="T12" s="93">
        <f>COUNTIF(PresençaemFevereiro[17],"U")+COUNTIF(PresençaemFevereiro[17],"E")</f>
        <v>0</v>
      </c>
      <c r="U12" s="93">
        <f>COUNTIF(PresençaemFevereiro[18],"U")+COUNTIF(PresençaemFevereiro[18],"E")</f>
        <v>0</v>
      </c>
      <c r="V12" s="93">
        <f>COUNTIF(PresençaemFevereiro[19],"U")+COUNTIF(PresençaemFevereiro[19],"E")</f>
        <v>0</v>
      </c>
      <c r="W12" s="93">
        <f>COUNTIF(PresençaemFevereiro[20],"U")+COUNTIF(PresençaemFevereiro[20],"E")</f>
        <v>0</v>
      </c>
      <c r="X12" s="93">
        <f>COUNTIF(PresençaemFevereiro[21],"U")+COUNTIF(PresençaemFevereiro[21],"E")</f>
        <v>0</v>
      </c>
      <c r="Y12" s="93">
        <f>COUNTIF(PresençaemFevereiro[22],"U")+COUNTIF(PresençaemFevereiro[22],"E")</f>
        <v>0</v>
      </c>
      <c r="Z12" s="93">
        <f>COUNTIF(PresençaemFevereiro[23],"U")+COUNTIF(PresençaemFevereiro[23],"E")</f>
        <v>0</v>
      </c>
      <c r="AA12" s="93">
        <f>COUNTIF(PresençaemFevereiro[24],"U")+COUNTIF(PresençaemFevereiro[24],"E")</f>
        <v>0</v>
      </c>
      <c r="AB12" s="93">
        <f>COUNTIF(PresençaemFevereiro[25],"U")+COUNTIF(PresençaemFevereiro[25],"E")</f>
        <v>0</v>
      </c>
      <c r="AC12" s="93">
        <f>COUNTIF(PresençaemFevereiro[26],"U")+COUNTIF(PresençaemFevereiro[26],"E")</f>
        <v>0</v>
      </c>
      <c r="AD12" s="93">
        <f>COUNTIF(PresençaemFevereiro[27],"U")+COUNTIF(PresençaemFevereiro[27],"E")</f>
        <v>0</v>
      </c>
      <c r="AE12" s="93">
        <f>COUNTIF(PresençaemFevereiro[28],"U")+COUNTIF(PresençaemFevereiro[28],"E")</f>
        <v>0</v>
      </c>
      <c r="AF12" s="93">
        <f>COUNTIF(PresençaemFevereiro[29],"U")+COUNTIF(PresençaemFevereiro[29],"E")</f>
        <v>0</v>
      </c>
      <c r="AG12" s="93"/>
      <c r="AH12" s="93"/>
      <c r="AI12" s="93">
        <f>SUBTOTAL(109,PresençaemFevereiro[T])</f>
        <v>0</v>
      </c>
      <c r="AJ12" s="93">
        <f>SUBTOTAL(109,PresençaemFevereiro[E])</f>
        <v>0</v>
      </c>
      <c r="AK12" s="93">
        <f>SUBTOTAL(109,PresençaemFevereiro[F])</f>
        <v>2</v>
      </c>
      <c r="AL12" s="93">
        <f>SUBTOTAL(109,PresençaemFevereiro[P])</f>
        <v>2</v>
      </c>
      <c r="AM12" s="93">
        <f>SUBTOTAL(109,PresençaemFevereiro[Dias de Ausência])</f>
        <v>2</v>
      </c>
    </row>
    <row r="13" spans="1:39" ht="16.5" customHeight="1" thickTop="1" x14ac:dyDescent="0.25"/>
    <row r="14" spans="1:39" ht="16.5" customHeight="1" x14ac:dyDescent="0.25"/>
    <row r="15" spans="1:39" ht="16.5" customHeight="1" x14ac:dyDescent="0.25"/>
    <row r="16" spans="1:39" ht="16.5" customHeight="1" x14ac:dyDescent="0.25"/>
    <row r="17" ht="16.5" customHeight="1" x14ac:dyDescent="0.25"/>
    <row r="18" ht="16.5" customHeight="1" x14ac:dyDescent="0.25"/>
    <row r="19" ht="16.5" customHeight="1" x14ac:dyDescent="0.25"/>
    <row r="20" ht="16.5" customHeight="1" x14ac:dyDescent="0.25"/>
    <row r="21" ht="16.5" customHeight="1" x14ac:dyDescent="0.25"/>
    <row r="22" ht="16.5" customHeight="1" x14ac:dyDescent="0.25"/>
    <row r="23" ht="16.5" customHeight="1" x14ac:dyDescent="0.25"/>
    <row r="24" ht="16.5" customHeight="1" x14ac:dyDescent="0.25"/>
    <row r="25" ht="16.5" customHeight="1" x14ac:dyDescent="0.25"/>
    <row r="26" ht="16.5" customHeight="1" x14ac:dyDescent="0.25"/>
    <row r="27" ht="16.5" customHeight="1" x14ac:dyDescent="0.25"/>
    <row r="28" ht="16.5" customHeight="1" x14ac:dyDescent="0.25"/>
    <row r="29" ht="16.5" customHeight="1" x14ac:dyDescent="0.25"/>
    <row r="30" ht="16.5" customHeight="1" x14ac:dyDescent="0.25"/>
    <row r="31" ht="16.5" customHeight="1" x14ac:dyDescent="0.25"/>
    <row r="32" ht="16.5" customHeight="1" x14ac:dyDescent="0.25"/>
    <row r="33" ht="16.5" customHeight="1" x14ac:dyDescent="0.25"/>
    <row r="34" ht="16.5" customHeight="1" x14ac:dyDescent="0.25"/>
    <row r="35" ht="16.5" customHeight="1" x14ac:dyDescent="0.25"/>
    <row r="36" ht="16.5" customHeight="1" x14ac:dyDescent="0.25"/>
    <row r="37" ht="16.5" customHeight="1" x14ac:dyDescent="0.25"/>
    <row r="38" ht="16.5" customHeight="1" x14ac:dyDescent="0.25"/>
    <row r="39" ht="16.5" customHeight="1" x14ac:dyDescent="0.25"/>
    <row r="40" ht="16.5" customHeight="1" x14ac:dyDescent="0.25"/>
    <row r="41" ht="16.5" customHeight="1" x14ac:dyDescent="0.25"/>
    <row r="42" ht="16.5" customHeight="1" x14ac:dyDescent="0.25"/>
    <row r="43" ht="16.5" customHeight="1" x14ac:dyDescent="0.25"/>
    <row r="44" ht="16.5" customHeight="1" x14ac:dyDescent="0.25"/>
    <row r="45" ht="16.5" customHeight="1" x14ac:dyDescent="0.25"/>
    <row r="46" ht="16.5" customHeight="1" x14ac:dyDescent="0.25"/>
    <row r="47" ht="16.5" customHeight="1" x14ac:dyDescent="0.25"/>
    <row r="48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2" ht="16.5" customHeight="1" x14ac:dyDescent="0.25"/>
    <row r="63" ht="16.5" customHeight="1" x14ac:dyDescent="0.25"/>
    <row r="64" ht="16.5" customHeight="1" x14ac:dyDescent="0.25"/>
    <row r="65" ht="16.5" customHeight="1" x14ac:dyDescent="0.25"/>
    <row r="66" ht="16.5" customHeight="1" x14ac:dyDescent="0.25"/>
    <row r="67" ht="16.5" customHeight="1" x14ac:dyDescent="0.25"/>
    <row r="68" ht="16.5" customHeight="1" x14ac:dyDescent="0.25"/>
    <row r="69" ht="16.5" customHeight="1" x14ac:dyDescent="0.25"/>
    <row r="70" ht="16.5" customHeight="1" x14ac:dyDescent="0.25"/>
    <row r="71" ht="16.5" customHeight="1" x14ac:dyDescent="0.25"/>
    <row r="72" ht="16.5" customHeight="1" x14ac:dyDescent="0.25"/>
    <row r="73" ht="16.5" customHeight="1" x14ac:dyDescent="0.25"/>
    <row r="74" ht="16.5" customHeight="1" x14ac:dyDescent="0.25"/>
    <row r="75" ht="16.5" customHeight="1" x14ac:dyDescent="0.25"/>
    <row r="76" ht="16.5" customHeight="1" x14ac:dyDescent="0.25"/>
    <row r="77" ht="16.5" customHeight="1" x14ac:dyDescent="0.25"/>
    <row r="78" ht="16.5" customHeight="1" x14ac:dyDescent="0.25"/>
    <row r="79" ht="16.5" customHeight="1" x14ac:dyDescent="0.25"/>
    <row r="80" ht="16.5" customHeight="1" x14ac:dyDescent="0.25"/>
    <row r="81" ht="16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  <row r="87" ht="16.5" customHeight="1" x14ac:dyDescent="0.25"/>
    <row r="88" ht="16.5" customHeight="1" x14ac:dyDescent="0.25"/>
    <row r="89" ht="16.5" customHeight="1" x14ac:dyDescent="0.25"/>
    <row r="90" ht="16.5" customHeight="1" x14ac:dyDescent="0.25"/>
    <row r="91" ht="16.5" customHeight="1" x14ac:dyDescent="0.25"/>
    <row r="92" ht="16.5" customHeight="1" x14ac:dyDescent="0.25"/>
    <row r="93" ht="16.5" customHeight="1" x14ac:dyDescent="0.25"/>
    <row r="94" ht="16.5" customHeight="1" x14ac:dyDescent="0.25"/>
    <row r="95" ht="16.5" customHeight="1" x14ac:dyDescent="0.25"/>
    <row r="96" ht="16.5" customHeight="1" x14ac:dyDescent="0.25"/>
    <row r="97" ht="16.5" customHeight="1" x14ac:dyDescent="0.25"/>
    <row r="98" ht="16.5" customHeight="1" x14ac:dyDescent="0.25"/>
    <row r="99" ht="16.5" customHeight="1" x14ac:dyDescent="0.25"/>
    <row r="100" ht="16.5" customHeight="1" x14ac:dyDescent="0.25"/>
    <row r="101" ht="16.5" customHeight="1" x14ac:dyDescent="0.25"/>
    <row r="102" ht="16.5" customHeight="1" x14ac:dyDescent="0.25"/>
    <row r="103" ht="16.5" customHeight="1" x14ac:dyDescent="0.25"/>
    <row r="104" ht="16.5" customHeight="1" x14ac:dyDescent="0.25"/>
    <row r="105" ht="16.5" customHeight="1" x14ac:dyDescent="0.25"/>
    <row r="106" ht="16.5" customHeight="1" x14ac:dyDescent="0.25"/>
    <row r="107" ht="16.5" customHeight="1" x14ac:dyDescent="0.25"/>
    <row r="108" ht="16.5" customHeight="1" x14ac:dyDescent="0.25"/>
    <row r="109" ht="16.5" customHeight="1" x14ac:dyDescent="0.25"/>
    <row r="110" ht="16.5" customHeight="1" x14ac:dyDescent="0.25"/>
    <row r="111" ht="16.5" customHeight="1" x14ac:dyDescent="0.25"/>
    <row r="112" ht="16.5" customHeight="1" x14ac:dyDescent="0.25"/>
    <row r="113" ht="16.5" customHeight="1" x14ac:dyDescent="0.25"/>
    <row r="114" ht="16.5" customHeight="1" x14ac:dyDescent="0.25"/>
    <row r="115" ht="16.5" customHeight="1" x14ac:dyDescent="0.25"/>
    <row r="116" ht="16.5" customHeight="1" x14ac:dyDescent="0.25"/>
    <row r="117" ht="16.5" customHeight="1" x14ac:dyDescent="0.25"/>
    <row r="118" ht="16.5" customHeight="1" x14ac:dyDescent="0.25"/>
    <row r="119" ht="16.5" customHeight="1" x14ac:dyDescent="0.25"/>
    <row r="120" ht="16.5" customHeight="1" x14ac:dyDescent="0.25"/>
    <row r="121" ht="16.5" customHeight="1" x14ac:dyDescent="0.25"/>
    <row r="122" ht="16.5" customHeight="1" x14ac:dyDescent="0.25"/>
    <row r="123" ht="16.5" customHeight="1" x14ac:dyDescent="0.25"/>
    <row r="124" ht="16.5" customHeight="1" x14ac:dyDescent="0.25"/>
    <row r="125" ht="16.5" customHeight="1" x14ac:dyDescent="0.25"/>
    <row r="126" ht="16.5" customHeight="1" x14ac:dyDescent="0.25"/>
    <row r="127" ht="16.5" customHeight="1" x14ac:dyDescent="0.25"/>
    <row r="128" ht="16.5" customHeight="1" x14ac:dyDescent="0.25"/>
    <row r="129" ht="16.5" customHeight="1" x14ac:dyDescent="0.25"/>
    <row r="130" ht="16.5" customHeight="1" x14ac:dyDescent="0.25"/>
    <row r="131" ht="16.5" customHeight="1" x14ac:dyDescent="0.25"/>
    <row r="132" ht="16.5" customHeight="1" x14ac:dyDescent="0.25"/>
    <row r="133" ht="16.5" customHeight="1" x14ac:dyDescent="0.25"/>
    <row r="134" ht="16.5" customHeight="1" x14ac:dyDescent="0.25"/>
    <row r="135" ht="16.5" customHeight="1" x14ac:dyDescent="0.25"/>
    <row r="136" ht="16.5" customHeight="1" x14ac:dyDescent="0.25"/>
    <row r="137" ht="16.5" customHeight="1" x14ac:dyDescent="0.25"/>
    <row r="138" ht="16.5" customHeight="1" x14ac:dyDescent="0.25"/>
    <row r="139" ht="16.5" customHeight="1" x14ac:dyDescent="0.25"/>
    <row r="140" ht="16.5" customHeight="1" x14ac:dyDescent="0.25"/>
    <row r="141" ht="16.5" customHeight="1" x14ac:dyDescent="0.25"/>
    <row r="142" ht="16.5" customHeight="1" x14ac:dyDescent="0.25"/>
    <row r="143" ht="16.5" customHeight="1" x14ac:dyDescent="0.25"/>
    <row r="144" ht="16.5" customHeight="1" x14ac:dyDescent="0.25"/>
    <row r="145" ht="16.5" customHeight="1" x14ac:dyDescent="0.25"/>
    <row r="146" ht="16.5" customHeight="1" x14ac:dyDescent="0.25"/>
    <row r="147" ht="16.5" customHeight="1" x14ac:dyDescent="0.25"/>
    <row r="148" ht="16.5" customHeight="1" x14ac:dyDescent="0.25"/>
    <row r="149" ht="16.5" customHeight="1" x14ac:dyDescent="0.25"/>
    <row r="150" ht="16.5" customHeight="1" x14ac:dyDescent="0.25"/>
    <row r="151" ht="16.5" customHeight="1" x14ac:dyDescent="0.25"/>
    <row r="152" ht="16.5" customHeight="1" x14ac:dyDescent="0.25"/>
    <row r="153" ht="16.5" customHeight="1" x14ac:dyDescent="0.25"/>
    <row r="154" ht="16.5" customHeight="1" x14ac:dyDescent="0.25"/>
    <row r="155" ht="16.5" customHeight="1" x14ac:dyDescent="0.25"/>
    <row r="156" ht="16.5" customHeight="1" x14ac:dyDescent="0.25"/>
    <row r="157" ht="16.5" customHeight="1" x14ac:dyDescent="0.25"/>
    <row r="158" ht="16.5" customHeight="1" x14ac:dyDescent="0.25"/>
    <row r="159" ht="16.5" customHeight="1" x14ac:dyDescent="0.25"/>
    <row r="160" ht="16.5" customHeight="1" x14ac:dyDescent="0.25"/>
    <row r="161" ht="16.5" customHeight="1" x14ac:dyDescent="0.25"/>
    <row r="162" ht="16.5" customHeight="1" x14ac:dyDescent="0.25"/>
    <row r="163" ht="16.5" customHeight="1" x14ac:dyDescent="0.25"/>
    <row r="164" ht="16.5" customHeight="1" x14ac:dyDescent="0.25"/>
    <row r="165" ht="16.5" customHeight="1" x14ac:dyDescent="0.25"/>
    <row r="166" ht="16.5" customHeight="1" x14ac:dyDescent="0.25"/>
    <row r="167" ht="16.5" customHeight="1" x14ac:dyDescent="0.25"/>
    <row r="168" ht="16.5" customHeight="1" x14ac:dyDescent="0.25"/>
    <row r="169" ht="16.5" customHeight="1" x14ac:dyDescent="0.25"/>
    <row r="170" ht="16.5" customHeight="1" x14ac:dyDescent="0.25"/>
    <row r="171" ht="16.5" customHeight="1" x14ac:dyDescent="0.25"/>
    <row r="172" ht="16.5" customHeight="1" x14ac:dyDescent="0.25"/>
    <row r="173" ht="16.5" customHeight="1" x14ac:dyDescent="0.25"/>
    <row r="174" ht="16.5" customHeight="1" x14ac:dyDescent="0.25"/>
    <row r="175" ht="16.5" customHeight="1" x14ac:dyDescent="0.25"/>
    <row r="176" ht="16.5" customHeight="1" x14ac:dyDescent="0.25"/>
    <row r="177" ht="16.5" customHeight="1" x14ac:dyDescent="0.25"/>
    <row r="178" ht="16.5" customHeight="1" x14ac:dyDescent="0.25"/>
    <row r="179" ht="16.5" customHeight="1" x14ac:dyDescent="0.25"/>
    <row r="180" ht="16.5" customHeight="1" x14ac:dyDescent="0.25"/>
    <row r="181" ht="16.5" customHeight="1" x14ac:dyDescent="0.25"/>
    <row r="182" ht="16.5" customHeight="1" x14ac:dyDescent="0.25"/>
    <row r="183" ht="16.5" customHeight="1" x14ac:dyDescent="0.25"/>
    <row r="184" ht="16.5" customHeight="1" x14ac:dyDescent="0.25"/>
    <row r="185" ht="16.5" customHeight="1" x14ac:dyDescent="0.25"/>
    <row r="186" ht="16.5" customHeight="1" x14ac:dyDescent="0.25"/>
    <row r="187" ht="16.5" customHeight="1" x14ac:dyDescent="0.25"/>
    <row r="188" ht="16.5" customHeight="1" x14ac:dyDescent="0.25"/>
    <row r="189" ht="16.5" customHeight="1" x14ac:dyDescent="0.25"/>
    <row r="190" ht="16.5" customHeight="1" x14ac:dyDescent="0.25"/>
    <row r="191" ht="16.5" customHeight="1" x14ac:dyDescent="0.25"/>
    <row r="192" ht="16.5" customHeight="1" x14ac:dyDescent="0.25"/>
    <row r="193" ht="16.5" customHeight="1" x14ac:dyDescent="0.25"/>
    <row r="194" ht="16.5" customHeight="1" x14ac:dyDescent="0.25"/>
    <row r="195" ht="16.5" customHeight="1" x14ac:dyDescent="0.25"/>
    <row r="196" ht="16.5" customHeight="1" x14ac:dyDescent="0.25"/>
    <row r="197" ht="16.5" customHeight="1" x14ac:dyDescent="0.25"/>
    <row r="198" ht="16.5" customHeight="1" x14ac:dyDescent="0.25"/>
    <row r="199" ht="16.5" customHeight="1" x14ac:dyDescent="0.25"/>
    <row r="200" ht="16.5" customHeight="1" x14ac:dyDescent="0.25"/>
    <row r="201" ht="16.5" customHeight="1" x14ac:dyDescent="0.25"/>
    <row r="202" ht="16.5" customHeight="1" x14ac:dyDescent="0.25"/>
    <row r="203" ht="16.5" customHeight="1" x14ac:dyDescent="0.25"/>
    <row r="204" ht="16.5" customHeight="1" x14ac:dyDescent="0.25"/>
    <row r="205" ht="16.5" customHeight="1" x14ac:dyDescent="0.25"/>
    <row r="206" ht="16.5" customHeight="1" x14ac:dyDescent="0.25"/>
    <row r="207" ht="16.5" customHeight="1" x14ac:dyDescent="0.25"/>
    <row r="208" ht="16.5" customHeight="1" x14ac:dyDescent="0.25"/>
    <row r="209" ht="16.5" customHeight="1" x14ac:dyDescent="0.25"/>
    <row r="210" ht="16.5" customHeight="1" x14ac:dyDescent="0.25"/>
    <row r="211" ht="16.5" customHeight="1" x14ac:dyDescent="0.25"/>
    <row r="212" ht="16.5" customHeight="1" x14ac:dyDescent="0.25"/>
    <row r="213" ht="16.5" customHeight="1" x14ac:dyDescent="0.25"/>
    <row r="214" ht="16.5" customHeight="1" x14ac:dyDescent="0.25"/>
    <row r="215" ht="16.5" customHeight="1" x14ac:dyDescent="0.25"/>
    <row r="216" ht="16.5" customHeight="1" x14ac:dyDescent="0.25"/>
    <row r="217" ht="16.5" customHeight="1" x14ac:dyDescent="0.25"/>
    <row r="218" ht="16.5" customHeight="1" x14ac:dyDescent="0.25"/>
    <row r="219" ht="16.5" customHeight="1" x14ac:dyDescent="0.25"/>
    <row r="220" ht="16.5" customHeight="1" x14ac:dyDescent="0.25"/>
    <row r="221" ht="16.5" customHeight="1" x14ac:dyDescent="0.25"/>
    <row r="222" ht="16.5" customHeight="1" x14ac:dyDescent="0.25"/>
    <row r="223" ht="16.5" customHeight="1" x14ac:dyDescent="0.25"/>
    <row r="224" ht="16.5" customHeight="1" x14ac:dyDescent="0.25"/>
    <row r="225" ht="16.5" customHeight="1" x14ac:dyDescent="0.25"/>
    <row r="226" ht="16.5" customHeight="1" x14ac:dyDescent="0.25"/>
    <row r="227" ht="16.5" customHeight="1" x14ac:dyDescent="0.25"/>
    <row r="228" ht="16.5" customHeight="1" x14ac:dyDescent="0.25"/>
    <row r="229" ht="16.5" customHeight="1" x14ac:dyDescent="0.25"/>
    <row r="230" ht="16.5" customHeight="1" x14ac:dyDescent="0.25"/>
    <row r="231" ht="16.5" customHeight="1" x14ac:dyDescent="0.25"/>
    <row r="232" ht="16.5" customHeight="1" x14ac:dyDescent="0.25"/>
    <row r="233" ht="16.5" customHeight="1" x14ac:dyDescent="0.25"/>
    <row r="234" ht="16.5" customHeight="1" x14ac:dyDescent="0.25"/>
    <row r="235" ht="16.5" customHeight="1" x14ac:dyDescent="0.25"/>
    <row r="236" ht="16.5" customHeight="1" x14ac:dyDescent="0.25"/>
    <row r="237" ht="16.5" customHeight="1" x14ac:dyDescent="0.25"/>
    <row r="238" ht="16.5" customHeight="1" x14ac:dyDescent="0.25"/>
    <row r="239" ht="16.5" customHeight="1" x14ac:dyDescent="0.25"/>
    <row r="240" ht="16.5" customHeight="1" x14ac:dyDescent="0.25"/>
    <row r="241" ht="16.5" customHeight="1" x14ac:dyDescent="0.25"/>
    <row r="242" ht="16.5" customHeight="1" x14ac:dyDescent="0.25"/>
    <row r="243" ht="16.5" customHeight="1" x14ac:dyDescent="0.25"/>
    <row r="244" ht="16.5" customHeight="1" x14ac:dyDescent="0.25"/>
    <row r="245" ht="16.5" customHeight="1" x14ac:dyDescent="0.25"/>
    <row r="246" ht="16.5" customHeight="1" x14ac:dyDescent="0.25"/>
    <row r="247" ht="16.5" customHeight="1" x14ac:dyDescent="0.25"/>
    <row r="248" ht="16.5" customHeight="1" x14ac:dyDescent="0.25"/>
    <row r="249" ht="16.5" customHeight="1" x14ac:dyDescent="0.25"/>
    <row r="250" ht="16.5" customHeight="1" x14ac:dyDescent="0.25"/>
    <row r="251" ht="16.5" customHeight="1" x14ac:dyDescent="0.25"/>
    <row r="252" ht="16.5" customHeight="1" x14ac:dyDescent="0.25"/>
    <row r="253" ht="16.5" customHeight="1" x14ac:dyDescent="0.25"/>
    <row r="254" ht="16.5" customHeight="1" x14ac:dyDescent="0.25"/>
    <row r="255" ht="16.5" customHeight="1" x14ac:dyDescent="0.25"/>
    <row r="256" ht="16.5" customHeight="1" x14ac:dyDescent="0.25"/>
    <row r="257" ht="16.5" customHeight="1" x14ac:dyDescent="0.25"/>
    <row r="258" ht="16.5" customHeight="1" x14ac:dyDescent="0.25"/>
    <row r="259" ht="16.5" customHeight="1" x14ac:dyDescent="0.25"/>
    <row r="260" ht="16.5" customHeight="1" x14ac:dyDescent="0.25"/>
    <row r="261" ht="16.5" customHeight="1" x14ac:dyDescent="0.25"/>
    <row r="262" ht="16.5" customHeight="1" x14ac:dyDescent="0.25"/>
    <row r="263" ht="16.5" customHeight="1" x14ac:dyDescent="0.25"/>
    <row r="264" ht="16.5" customHeight="1" x14ac:dyDescent="0.25"/>
  </sheetData>
  <sheetProtection formatCells="0" formatColumns="0" formatRows="0" insertColumns="0" insertRows="0" insertHyperlinks="0" deleteColumns="0" deleteRows="0" sort="0" autoFilter="0" pivotTables="0"/>
  <mergeCells count="1">
    <mergeCell ref="AI5:AM5"/>
  </mergeCells>
  <conditionalFormatting sqref="D7:AF11">
    <cfRule type="expression" dxfId="37" priority="5" stopIfTrue="1">
      <formula>D7=Código2</formula>
    </cfRule>
    <cfRule type="expression" dxfId="36" priority="6" stopIfTrue="1">
      <formula>D7=Código5</formula>
    </cfRule>
    <cfRule type="expression" dxfId="35" priority="7" stopIfTrue="1">
      <formula>D7=Código4</formula>
    </cfRule>
    <cfRule type="expression" dxfId="34" priority="8" stopIfTrue="1">
      <formula>D7=Código3</formula>
    </cfRule>
    <cfRule type="expression" dxfId="33" priority="9" stopIfTrue="1">
      <formula>D7=Código1</formula>
    </cfRule>
  </conditionalFormatting>
  <conditionalFormatting sqref="AF5:AH5">
    <cfRule type="expression" dxfId="32" priority="2">
      <formula>DATE(AnoCalendário+1,2,AF6)&gt;EOMONTH(DATE(AnoCalendário+1,1,1),1)</formula>
    </cfRule>
  </conditionalFormatting>
  <conditionalFormatting sqref="AF6:AH6">
    <cfRule type="expression" dxfId="31" priority="1">
      <formula>DATE(AnoCalendário+1,2,AF6)&gt;EOMONTH(DATE(AnoCalendário+1,1,1),1)</formula>
    </cfRule>
  </conditionalFormatting>
  <conditionalFormatting sqref="AM7:AM11">
    <cfRule type="dataBar" priority="3">
      <dataBar>
        <cfvo type="min"/>
        <cfvo type="num" val="DATEDIF(DATE(AnoCalendário,2,1),DATE(AnoCalendário,3,1),&quot;d&quot;)"/>
        <color theme="4"/>
      </dataBar>
      <extLst>
        <ext xmlns:x14="http://schemas.microsoft.com/office/spreadsheetml/2009/9/main" uri="{B025F937-C7B1-47D3-B67F-A62EFF666E3E}">
          <x14:id>{AB18F5F5-27F6-438D-8C1C-359FFE3EF7E4}</x14:id>
        </ext>
      </extLst>
    </cfRule>
  </conditionalFormatting>
  <dataValidations count="1">
    <dataValidation type="list" errorStyle="warning" allowBlank="1" showInputMessage="1" showErrorMessage="1" errorTitle="Ops!" error="A ID de Aluno que você inseriu não está na planilha Lista de Alunos. Você pode clicar em Sim para usar a ID de Aluno inserida, mas ela não estará disponível na planilha Relatório de Presença dos Alunos." sqref="B7:B11" xr:uid="{00000000-0002-0000-0900-000000000000}">
      <formula1>IDAluno</formula1>
    </dataValidation>
  </dataValidations>
  <printOptions horizontalCentered="1"/>
  <pageMargins left="0.5" right="0.5" top="0.75" bottom="0.75" header="0.3" footer="0.3"/>
  <pageSetup paperSize="9" scale="59" fitToHeight="0" orientation="landscape" verticalDpi="1200" r:id="rId1"/>
  <drawing r:id="rId2"/>
  <legacyDrawing r:id="rId3"/>
  <tableParts count="1"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B18F5F5-27F6-438D-8C1C-359FFE3EF7E4}">
            <x14:dataBar minLength="0" maxLength="100" border="1" negativeBarBorderColorSameAsPositive="0">
              <x14:cfvo type="autoMin"/>
              <x14:cfvo type="num">
                <xm:f>DATEDIF(DATE(AnoCalendário,2,1),DATE(AnoCalendário,3,1),"d")</xm:f>
              </x14:cfvo>
              <x14:borderColor theme="4"/>
              <x14:negativeFillColor rgb="FFFF0000"/>
              <x14:negativeBorderColor rgb="FFFF0000"/>
              <x14:axisColor rgb="FF000000"/>
            </x14:dataBar>
          </x14:cfRule>
          <xm:sqref>AM7:AM11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06CD18CD-13F4-472B-B1AB-DDBE2AC449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15</vt:i4>
      </vt:variant>
      <vt:variant>
        <vt:lpstr>Intervalos Nomeados</vt:lpstr>
      </vt:variant>
      <vt:variant>
        <vt:i4>16</vt:i4>
      </vt:variant>
    </vt:vector>
  </HeadingPairs>
  <TitlesOfParts>
    <vt:vector size="31" baseType="lpstr">
      <vt:lpstr>Como usar este modelo</vt:lpstr>
      <vt:lpstr>Lista de Alunos</vt:lpstr>
      <vt:lpstr>Agosto</vt:lpstr>
      <vt:lpstr>Setembro</vt:lpstr>
      <vt:lpstr>Outubro</vt:lpstr>
      <vt:lpstr>Novembro</vt:lpstr>
      <vt:lpstr>Dezembro</vt:lpstr>
      <vt:lpstr>Janeiro</vt:lpstr>
      <vt:lpstr>Fevereiro</vt:lpstr>
      <vt:lpstr>Março</vt:lpstr>
      <vt:lpstr>Abril</vt:lpstr>
      <vt:lpstr>Maio</vt:lpstr>
      <vt:lpstr>Junho</vt:lpstr>
      <vt:lpstr>Julho</vt:lpstr>
      <vt:lpstr>Relatório de Presença do Aluno</vt:lpstr>
      <vt:lpstr>AnoCalendário</vt:lpstr>
      <vt:lpstr>Código1</vt:lpstr>
      <vt:lpstr>Código2</vt:lpstr>
      <vt:lpstr>Código3</vt:lpstr>
      <vt:lpstr>Código4</vt:lpstr>
      <vt:lpstr>Código5</vt:lpstr>
      <vt:lpstr>IDAluno</vt:lpstr>
      <vt:lpstr>'Lista de Alunos'!Imprimir_Títulos</vt:lpstr>
      <vt:lpstr>NomedoAluno</vt:lpstr>
      <vt:lpstr>PesquisadeAlunos</vt:lpstr>
      <vt:lpstr>TextodaChavedeCor</vt:lpstr>
      <vt:lpstr>TextodeCódigo1</vt:lpstr>
      <vt:lpstr>TextodeCódigo2</vt:lpstr>
      <vt:lpstr>TextodeCódigo3</vt:lpstr>
      <vt:lpstr>TextodeCódigo4</vt:lpstr>
      <vt:lpstr>TextodeCódigo5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alcilandio</dc:creator>
  <cp:keywords/>
  <cp:lastModifiedBy>Francysco Alcylandyo</cp:lastModifiedBy>
  <dcterms:modified xsi:type="dcterms:W3CDTF">2024-06-26T15:10:19Z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TC028023699991</vt:lpwstr>
  </property>
</Properties>
</file>